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азвитие дош., общего и доп. образования" sheetId="1" r:id="rId1"/>
    <sheet name="Совершенствование организации питания" sheetId="2" r:id="rId2"/>
    <sheet name="Организация отдыха" sheetId="3" r:id="rId3"/>
    <sheet name="Обеспечение защиты прав" sheetId="4" r:id="rId4"/>
  </sheets>
  <definedNames>
    <definedName name="_xlnm.Print_Area" localSheetId="0">'Развитие дош., общего и доп. образования'!$A$1:$M$813</definedName>
    <definedName name="Excel_BuiltIn_Print_Area" localSheetId="0">'Развитие дош., общего и доп. образования'!$A$3:$M$812</definedName>
  </definedNames>
  <calcPr fullCalcOnLoad="1" fullPrecision="0"/>
</workbook>
</file>

<file path=xl/comments1.xml><?xml version="1.0" encoding="utf-8"?>
<comments xmlns="http://schemas.openxmlformats.org/spreadsheetml/2006/main">
  <authors>
    <author> </author>
  </authors>
  <commentList>
    <comment ref="A251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  <r>
          <rPr>
            <sz val="9"/>
            <color indexed="8"/>
            <rFont val="Tahoma"/>
            <family val="2"/>
          </rPr>
          <t/>
        </r>
      </text>
    </comment>
    <comment ref="J198" authorId="0">
      <text>
        <r>
          <rPr>
            <b/>
            <sz val="9"/>
            <color indexed="8"/>
            <rFont val="Tahoma"/>
            <family val="2"/>
          </rPr>
          <t xml:space="preserve">retivova_vyu:
</t>
        </r>
      </text>
    </comment>
  </commentList>
</comments>
</file>

<file path=xl/sharedStrings.xml><?xml version="1.0" encoding="utf-8"?>
<sst xmlns="http://schemas.openxmlformats.org/spreadsheetml/2006/main" count="1477" uniqueCount="550">
  <si>
    <t xml:space="preserve">" Приложение № 2 к программе "Развитие образования </t>
  </si>
  <si>
    <t xml:space="preserve">       на территории ЗАТО г. Радужный Владимирской области"</t>
  </si>
  <si>
    <t xml:space="preserve">       4.   Мероприятия муниципальной подпрограммы «Развитие дошкольного, общего и дополнительного образования на территории ЗАТО г.Радужный Владимирской области»</t>
  </si>
  <si>
    <t>,</t>
  </si>
  <si>
    <t xml:space="preserve">Направление мероприятия </t>
  </si>
  <si>
    <t xml:space="preserve">Срок исполнения </t>
  </si>
  <si>
    <t>Объём финансирования (тыс.руб.)</t>
  </si>
  <si>
    <t>В том числе:</t>
  </si>
  <si>
    <t>Внебюджетные средства</t>
  </si>
  <si>
    <t>Исполнители - ответственные за реализацию мероприятия</t>
  </si>
  <si>
    <t>Ожидаемые результаты:                                   Показатели оценки эффективности  (качественные, количественные)</t>
  </si>
  <si>
    <t>Субвенции</t>
  </si>
  <si>
    <t>Собственных доходов:</t>
  </si>
  <si>
    <t>Субсидии, иные межбюджетные трансферты</t>
  </si>
  <si>
    <t>Другие собственные доходы</t>
  </si>
  <si>
    <t>Всего</t>
  </si>
  <si>
    <t>в том числе</t>
  </si>
  <si>
    <t>из федерального бюджета</t>
  </si>
  <si>
    <t>из областного бюджета</t>
  </si>
  <si>
    <t>1. Развитие системы обеспечения доступности качества образовательных услуг</t>
  </si>
  <si>
    <t>Цели: Обеспечение качества образования; обеспечение доступности дошкольного, общего и дополнительного образования, в том числе онлайн-образование; создание условий для внедрения современной и безопасной цифровой среды  города , обеспечивающей высокое качество и доступность образования всех видов уровней.</t>
  </si>
  <si>
    <t xml:space="preserve">Задачи:
1. Создание в системе общего и дополнительного образования равных возможностей для полноценного развития каждого ребенка и получения качественного образования; 
2. Повышение привлекательности работы в должности педагога в муниципальных образовательных учреждениях;
3. Включение в комплексную цифровую ифроструктуру системы образования региона.
</t>
  </si>
  <si>
    <t>1.Е1.1</t>
  </si>
  <si>
    <r>
      <rPr>
        <b/>
        <sz val="11"/>
        <rFont val="Times New Roman"/>
        <family val="1"/>
      </rPr>
      <t>1.Е1 "Федеральный проект  "Современная школа" национального проекта "Образование"</t>
    </r>
    <r>
      <rPr>
        <sz val="11"/>
        <rFont val="Times New Roman"/>
        <family val="1"/>
      </rPr>
      <t xml:space="preserve">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обеспечение центров образования естественно-научной и технологической направленности в общеобраз-х организациях расположенных в сельской местности и малых годах"</t>
    </r>
  </si>
  <si>
    <t xml:space="preserve">к 2024 году повысят квалификацию на базе детских технопарков "Кванториум",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экономики, не менее 2 учителей предметной области "Технология";
- к 2024 году не менее 190 обучающихся будут охвачены основными и дополнительными общеобразовательными программами цифрового, естественнонаучного и гуманитарного профилей;
- к 2025 году не менее 70% обучающихся будут вовлечены в различные формы сопровождения и наставничества;
- к 2025 году 100% организаций реализуют программы началь-ного общего, основного общего и среднего общего образования в сетевой форме;
- к 2024 году в 100% общеобразовательных организаций будут реализовываться механизмы вовлечения общественно-деловых объединений и участвовать представители работодателей в принятии решений по вопросам управления развитием общеобразовательных организаций;
- к 2024 году не менее 1552 обучающихся станут участниками открытых онлайн-уроков, реализуемых с учетом опыта цикла открытых уроков "Проектория", "Уроки настоящего" или иных аналогичных по возможностям, функциям и результатам проектов, направленных на раннюю профориентацию;
- к 2024 году не менее 150   детей получат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деятельности), в том числе по итогам участия в проекте "Билет в будущее";
- к 2024 году не менее 70% детей в ЗАТО г.Радужный с ограниченными возможностями здоровья будут обучаться по дополнительным общеобразовательным программам, в том числе с использованием дистанционных технологий;
- к 2024 году число детей, охваченных деятельностью детских технопарков "Кванториум" (мобильных технопарков "Кванто-риум") и других проектов, направленных на обеспечение дос-тупности дополнительных общеобразовательных программ естественнонаучной и технической направленностей, соответствующих приоритетным направлениям технологического развития Российской Федерации, составит 180 человек;
</t>
  </si>
  <si>
    <t xml:space="preserve">Всего </t>
  </si>
  <si>
    <t>МБОУ СОШ № 1</t>
  </si>
  <si>
    <t>МБОУ СОШ № 2</t>
  </si>
  <si>
    <t>1.Е1.2</t>
  </si>
  <si>
    <t>Создание для учителей предметной области "Технология" чистемы повышения квалификации на базе детских технопарков "Кванториум"</t>
  </si>
  <si>
    <t>1.Е2.1</t>
  </si>
  <si>
    <r>
      <rPr>
        <b/>
        <sz val="14"/>
        <rFont val="Times New Roman"/>
        <family val="1"/>
      </rPr>
      <t>1.Е2 "Федеральныйс проект  "Успех каждого ребенка" национального проекта "Образование"</t>
    </r>
    <r>
      <rPr>
        <sz val="14"/>
        <rFont val="Times New Roman"/>
        <family val="1"/>
      </rPr>
      <t xml:space="preserve">             Создание в общеоб-разовательных организациях, расположенных в сельской местности и малых городах, условий для занятий физической культурой и спортом.</t>
    </r>
  </si>
  <si>
    <t xml:space="preserve"> во всех общеобразовательных организациях будет обновлена материально-техническая база для занятий физической культурой и спортом;</t>
  </si>
  <si>
    <t>1.Е3.1</t>
  </si>
  <si>
    <r>
      <rPr>
        <b/>
        <sz val="12"/>
        <rFont val="Times New Roman"/>
        <family val="1"/>
      </rPr>
      <t xml:space="preserve">1.Е3 "Федеральныйс проект  "Поддержка семей, имеющих детей" национального проекта "Образование" </t>
    </r>
    <r>
      <rPr>
        <sz val="12"/>
        <rFont val="Times New Roman"/>
        <family val="1"/>
      </rPr>
      <t>Государственная поддержка некоммерческих организаций в целях оказания психолого-педагогической, методической  и консультативной помощи гражданам, имеющих детей.</t>
    </r>
  </si>
  <si>
    <t xml:space="preserve"> доля общеобразовательных организаций, реализующих обра-зовательные программы с использованием дистанционных технологий, в общей численности общеобразовательных организаций составит не менее 100%;
 обеспечена доступность консультативной, коррекционно-развивающей и методической помощи родителям (законным представителям) детей-инвалидов, детей с ОВЗ, детей-сирот и детей, оставшихся без попечения родителей;
</t>
  </si>
  <si>
    <t>1.Е4.1</t>
  </si>
  <si>
    <r>
      <rPr>
        <b/>
        <sz val="12"/>
        <rFont val="Times New Roman"/>
        <family val="1"/>
      </rPr>
      <t>1.Е4 "Федеральныйс проект  "Цифровая образовательная среда" " национального проекта "Образование"</t>
    </r>
    <r>
      <rPr>
        <sz val="12"/>
        <rFont val="Times New Roman"/>
        <family val="1"/>
      </rPr>
      <t xml:space="preserve"> Внедрение целевой модели цифровой образовательной среды в общеобразовательных организациях и профессиональных образовательных организациях"</t>
    </r>
  </si>
  <si>
    <t>2021</t>
  </si>
  <si>
    <t xml:space="preserve">- к 2021 году во всех образовательных организациях города, реализующих образовательные программы общего образования, будет внедрена целевая модель цифровой образовательной среды;
- к 2022 году в региональном банке эффективных педагогиче-ских практик будет размещено представление опыта работы пилотных образовательных организаций (инновационных площадок) по внедрению в образовательную программу совре-менных цифровых технологий;
- к 2025 году в  100% организаций общего образования будут применяться ресурсы региональной системы электронного и дистанционного обучения в образовательном процессе;
- к 2025 году не менее 20% обучающихся по программам общего образования будут использовать федеральную информационно-сервисную платформу цифровой образовательной среды для "горизонтального" обучения и неформального образования, в общем числе обучающихся по указанным программам;
- к 2025 году все образовательные организации обновят информационное наполнение и функциональные возможности открытых и общедоступных информационных ресурсов;
- к 2025 году не менее 50% педагогических работников обще-го образования пройдут повышение квалификации в рамках периодической аттестации в цифровой форме с использованием информационного ресурса "одного окна" ("Современная цифровая образовательная среда в Российской Федерации") от общего числа педагогических работников общего образования, привлекаемых к образовательной деятельности;
- к 2025 году для не менее чем 500 детей, обучающихся в 50% общеобразовательных организаций, в основные общеобразова-тельные программы будут внедрены современные цифровые технологии;
- к 2025 году  не менее 90% обучающихся по программам общего образования, дополнительного образования для детей, для которых формируется цифровой образовательный профиль и индивидуальный план обучения с использованием федеральной
информационно-сервисной платформы цифровой образовательной среды, в общем числе обучающихся по указанным программам;
- к 2025 году  100%  образовательных организаций, реализую-щих программы общего образования, дополнительного
образования детей, осуществляющих образовательную
деятельность с использованием федеральной информационно-сервисной платформы цифровой образовательной среды, в об-щем числе образовательных организаций;
- к 2021 году все общеобразовательные организации, располо-женные на территории города, обеспечены Интернет-соединением со скоростью соединения не менее 100Мб/c – для образовательных организаций, расположенных в городах, 50Мб/c – для  образовательных организаций, расположенных в сельской местности и в поселках городского типа, а также гарантированным интернет трафиком
- будет доведено до 100% число зданий муниципальных образовательных организаций, в которых проведены мероприятия по благоустройству в целях соблюдения требований к воздушно-тепловому режиму, водоснабжению и канализации, в соответствии с постановлением главного государственного санитарного врача Российской Федерации от 29 декабря 2010 г. N 189 "Об утверждении СанПиН 2.4.2.2821-10 "Санитарно-эпидемиологические требования к условиям и организации обучения в общеобразовательных учреждениях";
- к 2023 году будет создано 100 новых мест в МБОУ сош № 1.
</t>
  </si>
  <si>
    <t>1.Е4.2</t>
  </si>
  <si>
    <t>Размещение муниципальными образованиями Владимирской области в региональном банке эффективных педагогических практик предоставления опыта работы пилотных образовательных организаций (инновационных площадок) по внедрению в образовательную программу современных цифровых технологий"</t>
  </si>
  <si>
    <t>1.Е4.3</t>
  </si>
  <si>
    <t>Применение организациями общего образования ресурсов региональной системы электронного и дистанционного обучения  в оразовательном процессе"</t>
  </si>
  <si>
    <t>1.Е4.4</t>
  </si>
  <si>
    <t>Использование  образоват-ельными организациями Владимирской области ресурсов региональной системы оценки качества образования"</t>
  </si>
  <si>
    <t>1.Е4.5</t>
  </si>
  <si>
    <t>Обновление  образова-тельнеыми организациями, расположенными на территории  Владимирской области , информационного наполнения  и функциональ-ных возможностей открытых и общедоступных инфор-мационных ресурсов с ис-пользованием ИС "Платформа сайтов"</t>
  </si>
  <si>
    <t>1.Е4.6</t>
  </si>
  <si>
    <t>Повышение квалификации работников , привлекаемых к осуществлению образовательной деятельности, с целью повышения их компетенций в области современных технологий.</t>
  </si>
  <si>
    <t>1.Е4.7</t>
  </si>
  <si>
    <t>Внедрение в основные общеобразовательные программы детей, обучающихся в общеобразовательных организациях  современных цифровых технологий.</t>
  </si>
  <si>
    <t>1.Е4.8</t>
  </si>
  <si>
    <t>Реализация программы  профессиональной переподготовки руково-дителей образовательных организаций  по внедрению и функционированию в образовательных органи-зациях целевой модели цифро-вой образовательной среды.</t>
  </si>
  <si>
    <t>1.ЕВ.5.</t>
  </si>
  <si>
    <r>
      <rPr>
        <b/>
        <sz val="13"/>
        <rFont val="Times New Roman"/>
        <family val="1"/>
      </rPr>
      <t>1.Е5 "Федеральныйс проект  "Учитель будущего" национального проекта "Образование"</t>
    </r>
    <r>
      <rPr>
        <sz val="13"/>
        <rFont val="Times New Roman"/>
        <family val="1"/>
      </rPr>
      <t xml:space="preserve">       Обеспечение возможности  для непрерывного и плано-мерного повышения квали-фикации  и прфессио-нального мастерства педагогических работникоф  в центрах оценки професси-онального мастерства и квалификации педагогов.</t>
    </r>
  </si>
  <si>
    <t xml:space="preserve">      МБОУ СОШ  №1 и 2</t>
  </si>
  <si>
    <t>Патриотическое воспитание граждан Российской Федерации</t>
  </si>
  <si>
    <t>Итого по нац проектам</t>
  </si>
  <si>
    <t>Итого</t>
  </si>
  <si>
    <t>1.1.</t>
  </si>
  <si>
    <t xml:space="preserve"> Создание условий для получения качественного дошкольного, начального общего, основного общего, среднего общего, дополнительного образования. Проведение независимой оценки качества образовательной деятельности муниципальных образовательных учреждений;  аттестация рабочего места для общеобразовательных учреждений, оценка профессиональных рисков,  оснащение методического кабинета оборудованием и материалами для проведения в дистанционной форме  мероприятий по вопросам организации обраховательного процесса                                      </t>
  </si>
  <si>
    <t>Управление образования</t>
  </si>
  <si>
    <t>Охват независимой оценкой качества условий осуществления образовательной деятельности организациями составит 100%. Доля образовательных учреждений (по уровням), ежегодно представляющих общественности публичный отчет, обеспечивающий открытость и прозрачность образовательной и хозяйственной деятельности: 100%.</t>
  </si>
  <si>
    <t>Развитие системы выявления и поддержки одаренных детей совершенствование воспитательной работы : организация и проведение городских мероприятий; участие в областных, региональных, всероссийских, международных конкурсах, фестивалях, смотрах, соревнованиях и др.</t>
  </si>
  <si>
    <t>1.2.</t>
  </si>
  <si>
    <t xml:space="preserve"> Развитие системы выявления и поддержки одаренных детей, совершенствование воспитательной работы:                                                 - организация и проведение городских мероприятий;                  - участие обучающихся муниципальных образовательных учреждений в областных, региональных, всероссийских, международных конкурсах, фестивалях, смотрах, соревнованиях и др. (сопровождение обучающихся  работниками управления образования, образовательных учреждений, страхование, питание, оргвзносы, проезд, проживание, награждение участников, приобретение расходных материалов); 
- поддержка обучающихся, успешно выполняющих образовательные стандарты, в том числе выплаты единовременных персональных стипендий отличникам учебы</t>
  </si>
  <si>
    <t xml:space="preserve">Управление образования    </t>
  </si>
  <si>
    <t>Рост числа участников олимпиад, конкурсов, фестивалей, выставок к общему количеству обучающихся: 2017 г.-79%, 2018 г.- 80%, 2019 г.- 81%, 2020г. -73,2%, 2021г. -73,3%, 2022г. -75,4%</t>
  </si>
  <si>
    <t>Управление образования    в т. ч 40,250- премия отличникам учебы</t>
  </si>
  <si>
    <t>Управление образования, МБОУ ДО ЦВР "Лад"</t>
  </si>
  <si>
    <t>1.2.1.</t>
  </si>
  <si>
    <t>Приобретение методической литературы для работы с детьми с ограниченными возможностями</t>
  </si>
  <si>
    <t>1.2.2.</t>
  </si>
  <si>
    <t>Премия отличникам учебы</t>
  </si>
  <si>
    <t>МБОУ СОШ № 1, МБОУ СОШ № 2</t>
  </si>
  <si>
    <t>1.3.</t>
  </si>
  <si>
    <t xml:space="preserve"> Проведение мероприятий, направленных на пропаганду здорового образа жизни, проведение спартакиады, сдача норм ГТО, ("Крепыш")</t>
  </si>
  <si>
    <t xml:space="preserve">Управление образования  </t>
  </si>
  <si>
    <t>Снижение правонарушений в детской и подростковой среде, сокращение числа детей стоящих на всех видах учета  от общей численности учащихся до: 2017 г.-3%, 2018 г.-3,5%, 2019 г.-4%, 2020г. -4,5%, 2021г. -5%, 2022г. -5%,2023г. -5%</t>
  </si>
  <si>
    <t xml:space="preserve">Управление образования </t>
  </si>
  <si>
    <t>1.4.</t>
  </si>
  <si>
    <t>Проведение смотров-конкурсов образовательных организаций. Обеспечение инновационной, опытно-экспериментальной работы в образовательных организациях (организация, проведение управлением образования педагогических совещаний , участие в августовской конференции педагогических работников, семинарах, подготовка и проведение выставок и аналитических материалов), обучение сотрудников управления образования, муниципальный конкурс мастерсвтва "Педагог года", городской фестиваль творческих работ педагог. работников образования</t>
  </si>
  <si>
    <t>Своевременное повышение квалификации работников управления образования ЗАТО г.Радужный, образовательных учреждений в 2017 г.-80%, 2018 г.-81%, 2019 г.- 82%, 2020г. 90%,2021г. 90%, 2022-90%</t>
  </si>
  <si>
    <t>1.5.</t>
  </si>
  <si>
    <t>. Проведение городских праздников "День знаний", " "Выпускник", "День учителя"</t>
  </si>
  <si>
    <t>Повышение престижа педагогической профессии, продолжение обучения в ВУЗах и СУЗах выпускников 11 классов: 2017 г.- 88%, 2018 г.- 89%, 2019 г.- 90%, 2020г. -95%,2021г. -95%, 2022г. -95%,2023г. -95%</t>
  </si>
  <si>
    <t>1.6.</t>
  </si>
  <si>
    <t xml:space="preserve"> Проведение военных сборов       (участие в проведении акции "День призывника")</t>
  </si>
  <si>
    <t>Выполнение стандарта по ОБЖ, участие в учебных сборах юношей – учащихся 10-х классов, допущенных до прохождения в сборах 2017 г.-100%, 2018 г.- 100%, 2019 г.- 100%, 2020г. -100%, 2021г. -100%, 2022г. -100%,2023г. -100%</t>
  </si>
  <si>
    <t>1.7.</t>
  </si>
  <si>
    <t xml:space="preserve"> Поощрение лучших учителей-лауреатов областного конкурса</t>
  </si>
  <si>
    <t>Вознаграждение за конкурс "Лучший учитель" 2017 г.-100%, 2018 г.- 100%, 2019 г.-100%, 2020г- 100%, 2021г- 100%, 2022г. -100%,2023г. -100%</t>
  </si>
  <si>
    <t>1.8.</t>
  </si>
  <si>
    <t xml:space="preserve"> Обеспечение функционирования программного комплекса "1С-управление школой",  ИС "Барс", модернизация оборудования, создание системы защиты персональных данных, обеспечение муниципальных услуг в электронном виде. Приобретение интерактивного оборудования МБДОУ ЦРР Д/С №3 и мебели МБДОУ Д/С №5., МБДОУ Д/С № 6, МБОУ СОШ № 1, МБОУ СОШ№2, МБОУ ДО ЦВР "Лад". Содержание спортивной площадки МБОУ СОШ№2,  Поощрение ГРБС, добившихся высоких результатов в использовании бюджетных ассигнований и качества управления финансами.</t>
  </si>
  <si>
    <t>Унификация программного продукта. Внедрение программного комплекса «1С: управление школой», "Барс" в 2017 г.-100%, 2018 г.- 100%, 2019 г.- 100% , 2020г- 100%, 2021г- 100%, 2022г. -100%,2023г. -100%. Удельный вес числа общеобразовательных учреждений, имеющих скорость подключения к информационно-телекоммуникационной сети "Интернет" от 1 Мбит/с и выше, в общем числе общеобразовательных учреждений, подключенных к информационно-телекоммуникационной сети "Интернет", - 100%.   Доля общеобразовательных учреждений, использующих дистанционные технологии, в общей численности общеобразовательных учреждений: 2017 г.-  50%, 2018 г. - 50%, 2019 г. -100%, 2020 г.  - 100%, 2021г- 100%, 2022г. -100%,2023г. -100%</t>
  </si>
  <si>
    <t>Управление образования, методкабинет</t>
  </si>
  <si>
    <t>МБДОУ ЦРР Д/С № 3</t>
  </si>
  <si>
    <t>МБДОУ ЦРР Д/С № 5</t>
  </si>
  <si>
    <t>МБДОУ ЦРР Д/С № 6</t>
  </si>
  <si>
    <t>МБОУ СОШ №1</t>
  </si>
  <si>
    <t>МБОУ СОШ №2</t>
  </si>
  <si>
    <t>МБОУ ДО ЦВР "Лад"</t>
  </si>
  <si>
    <t>МБОУДО ЦВР "Лад"</t>
  </si>
  <si>
    <t>1.9.</t>
  </si>
  <si>
    <t>Обеспечение безопасности дорожного движения</t>
  </si>
  <si>
    <t>1.10</t>
  </si>
  <si>
    <t xml:space="preserve">Видеонаблюдение : оснащение пунктов проведения ЕГЭ. </t>
  </si>
  <si>
    <t>Обеспечение прозрачности процедуры проведения государственной итоговой аттестации и соблюдения требований ФЗ "Об образовании в РФ" в 2017 г.-100%, 2018 г.- 100%, 2019 г.- 100%, 2020г.- 100%, 2021г- 100%,2022г. -100%,2023г. -100%</t>
  </si>
  <si>
    <t>1.11.</t>
  </si>
  <si>
    <t xml:space="preserve">Устройство исистемы видеонаблюения спортивно-игровой площадки на межшкольном стадионе </t>
  </si>
  <si>
    <t>управление образования</t>
  </si>
  <si>
    <t>1.12.</t>
  </si>
  <si>
    <t xml:space="preserve"> Приобретение автобуса" Газель Next" в МБОУ ДОД ЦВР "Лад",газового оборудования в котельную МБОУ СОШ №1 и МБДОУ ЦРР Д/С №5</t>
  </si>
  <si>
    <t>МБОУ ДО ЦВР "Лад", МБОУ СОШ №1 , МБДОУ ЦРР Д/С №5</t>
  </si>
  <si>
    <t>Создание условий для участия обучающихся образовательных учреждений в конкурсах, соревнованиях за пределами города.</t>
  </si>
  <si>
    <t>1.13.</t>
  </si>
  <si>
    <t>Укрепление МТБ (приобретение)</t>
  </si>
  <si>
    <t>МБОУ ДО ЦВР "Лад" - приобрет винтовки</t>
  </si>
  <si>
    <t>1.14.</t>
  </si>
  <si>
    <t>Проведение специальной  оценки труда и независимоой оценки качества условий осуществления  образовательной деятельности образовательных организаций</t>
  </si>
  <si>
    <t>Проведение специальной оценки условий труда</t>
  </si>
  <si>
    <t>1.15.</t>
  </si>
  <si>
    <t>Создание и функционирование на базе МБОУ ДО ЦВР "Лад"консультационного пункта по оказанию услуг психолого-педагогической, методической и консультативной помощи родителям (законным представителям) детей,  гражданам желающим принять на воспитание в свою семью детей, оставшихся без попечения родителей в рамках реализации проекта «Государственная поддержка некоммерческих организаций в целях оказания психолого-педагогической, методической и консультативной помощи гражданам, имеющих детей» в рамках федерального проекта  «Поддержка семей, имеющих детей» национального проекта «Образование» государственной программы Российской Федерации «Развитие образования».</t>
  </si>
  <si>
    <t xml:space="preserve">Оказание психолого- педагогической , методической и консультативной помощи обратившихся родителей (законных представителей), гражданам, желающим принять на воспитание в свою семью детей, оставшихся без попечения родителей. Повышение компетентности родителей (законных представителей) в вопросах воспитания и образования детей.                                                   Количество услуг психолого-педагогической, методической и консультативной помощи  ро-дителям (законным представителям) детей, а также  гражданам, желающим принять на вос-питание в свою семью детей, оставшихся без попечения родителей.2019 г-190;  2020г. 380; 2021г. - 240; 2022г. - 240; 2023г.-240; </t>
  </si>
  <si>
    <t>1.16.</t>
  </si>
  <si>
    <t>Мероприятия, связанные с профилактикой и предотвращением коронавирусной инфекции</t>
  </si>
  <si>
    <t>МБОУ СОШ № 1 - м/ б-т</t>
  </si>
  <si>
    <t>Обеспечение безопасности распространения новой коронавирусной инфекции</t>
  </si>
  <si>
    <t>МБОУ СОШ № 1--о/б, м/б (соф-е)</t>
  </si>
  <si>
    <t>МБОУ СОШ № 2 - м/ б-т</t>
  </si>
  <si>
    <t>МБОУ СОШ № 2--о/б, м/б (соф-е)</t>
  </si>
  <si>
    <t>МБДОУ ЦРР д/с № 3- о/б, м/б(соф-е)</t>
  </si>
  <si>
    <t>МБДОУ ЦРР д/с № 5- о/б, м/б(соф-е)</t>
  </si>
  <si>
    <t>МБДОУ ЦРР д/с № 6- о/б, м/б (соф-е)</t>
  </si>
  <si>
    <t>МБОУ ДО ЦВР  "Лад"  -    м/ б-т</t>
  </si>
  <si>
    <t>1.17.</t>
  </si>
  <si>
    <t>Компенсация расходов на оплату жилых помещений и отопления учителям</t>
  </si>
  <si>
    <t>1.18.</t>
  </si>
  <si>
    <t>Грант "Учитель года"</t>
  </si>
  <si>
    <t xml:space="preserve">МБОУ СОШ № 1 </t>
  </si>
  <si>
    <t>Итого по разделу 1:</t>
  </si>
  <si>
    <t xml:space="preserve">2. "Обеспечение лицензионных требований к деятельности образовательных учреждений" </t>
  </si>
  <si>
    <t>Цель: Развитие инфраструктурыи обеспечение безопасностиобучающихся и работников образовательных учреждений во время их учебной и трудовой деятельностипутем проведения реконструкций , капитальногои текущегоремонтов, повышениябезопасностижизнедеятельности: пожарной, антитеррористической , а также технической и электрической безопасностизданий, сооружений иобразовательных учреждений.</t>
  </si>
  <si>
    <t>Задачи: 
1.Обеспечение безопасности обучающихся и работников образовательных учреждений во время их учебной и трудовой деятельности путем повышения безопасности жизнедеятельности: санитарно-эпидемиологической, противопожарной, антитеррористической, а также технической и электрической безопасности зданий, сооружений.
2. Обеспечение норм СанПиН для дошкольных, общеобразовательных учреждений и учреждений дополнительного образования
3.Выполнение основных общеобразовательных программ дошкольного образования в части реализации, содержанияи воспитания.</t>
  </si>
  <si>
    <t>Мероприятия:</t>
  </si>
  <si>
    <t>2.1.</t>
  </si>
  <si>
    <t>Проектные работы, реконструкция, текущие ремонты</t>
  </si>
  <si>
    <t>тек. ремонт</t>
  </si>
  <si>
    <t>МКУ «ГКМХ», управление образования</t>
  </si>
  <si>
    <t xml:space="preserve">Доля образовательных учреждений общего образования, дополнительного образования, в которых обеспечены условия для реализации соответствующих программ, в общем количестве учреждений: 2017 год - 100%, 2018 год  - 100%,  2019 год - 100%, 2020 год - 100%, 2021г- 100%, 2022г- 100%, 2023г- 100%. 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 Удельный вес численности обучающихся в зданиях, имеющих все виды благоустройств - 100%.
</t>
  </si>
  <si>
    <t>ремонт п/блока</t>
  </si>
  <si>
    <t>МКУ «ГКМХ»</t>
  </si>
  <si>
    <t>МБДОУ ЦРР Д/С №3</t>
  </si>
  <si>
    <t>МБДОУ ЦРР Д/С №5</t>
  </si>
  <si>
    <t>МБДОУ ЦРР Д/С №6</t>
  </si>
  <si>
    <t>ГКМХ СОШ № 1 -софин-е</t>
  </si>
  <si>
    <t>МБОУ ДО ЦВР " Лад" (дол)</t>
  </si>
  <si>
    <t>МКУ "ГКМХ"</t>
  </si>
  <si>
    <t>Ремонт трубопровода системы отопления в подвале</t>
  </si>
  <si>
    <t>Ремонт полов, отмостков и кирпичной кладки прогулочных веранд гр, №10,12,14,13,8,1,9,5</t>
  </si>
  <si>
    <t>Ремонт кровли пищеблока</t>
  </si>
  <si>
    <t xml:space="preserve">Замена пократия линолиума в керамическую плиткупола  в коридорах </t>
  </si>
  <si>
    <t>Текущий ремонт инженерных коммуникаций в подвале блока №2</t>
  </si>
  <si>
    <t>Замена канализационных труб 3 блока идущих от здания  к канализационному люку со стороны пищеблока.</t>
  </si>
  <si>
    <t>Установка узлов смешивания на трубы полового отопления</t>
  </si>
  <si>
    <t>Текущий ремонт групп 3.1,3.2,3.3 (линолеум)</t>
  </si>
  <si>
    <t xml:space="preserve">замена покрытия пола коридора  2 этажа </t>
  </si>
  <si>
    <t>Ремонт стен в коридорах 1 и 2 этажей</t>
  </si>
  <si>
    <t xml:space="preserve">Замена пократия пола </t>
  </si>
  <si>
    <t>комплекс работ по ремонту метал. Калитки</t>
  </si>
  <si>
    <t>замена дверного блока , балконных блоков</t>
  </si>
  <si>
    <t>Монгтаж системы отключения приточной вентиляции при пожаре</t>
  </si>
  <si>
    <t>ремонт регистров в раздевалке гр.3-5 лесовичок, ремонт стен второго этажа, замена уплотнителя и мелкий ремонт окон</t>
  </si>
  <si>
    <t>Замена покрытия пола в коридорах 1и 2 этажей в МДБОУ д/с № 5 предпеисание по пожарной безопасности</t>
  </si>
  <si>
    <t>Установка системы отключения общеобменной приточной вентиляции в прачке</t>
  </si>
  <si>
    <t>Установка доводчиков на двери поэтажных выходов</t>
  </si>
  <si>
    <t>Замена приборов учета воды: (расходомеры-3шт, датчики давления - 3 шт., тепловычислитель - 1 шт.)</t>
  </si>
  <si>
    <t>Замена регистров в раздевалке группы 3/5</t>
  </si>
  <si>
    <t>Замена регистров отопления в раздевалках</t>
  </si>
  <si>
    <t xml:space="preserve">Текущий ремонт 10 веранд </t>
  </si>
  <si>
    <t>Текущий ремонт помещений</t>
  </si>
  <si>
    <t>Текущий ремонт физкультурного зала, перехода в бассейн и тамбуров у вахты</t>
  </si>
  <si>
    <t>Текущий ремонт  в группах  № 2,4,5,12,8</t>
  </si>
  <si>
    <t>Текущий ремонт калиток</t>
  </si>
  <si>
    <t>Ремонт крыльца центрального входа в школу (путь эвакуации)</t>
  </si>
  <si>
    <t>Текущий ремонт  рекриации 2 и 3 этажа</t>
  </si>
  <si>
    <t>Текущий ремонт пищеблока столовой в здании начальной школы</t>
  </si>
  <si>
    <t>Текущий ремонт перехода в КЦ "Досуг"</t>
  </si>
  <si>
    <t>Ремонт потолка лестничной клетки</t>
  </si>
  <si>
    <t xml:space="preserve">Текущий ремонт вестибюля 
</t>
  </si>
  <si>
    <t>Устройство системы вытяжной вентиляции от шкафов кабинета химии - основное здание, кабинет №21</t>
  </si>
  <si>
    <t>ремонт рекреации первого этажа, приобретение краски для покарскаи забора</t>
  </si>
  <si>
    <t>рекревция 1 этажа</t>
  </si>
  <si>
    <t>Ремонт кабинета №18 и лаборантской ("Точка роста" - физика)</t>
  </si>
  <si>
    <t>Ремонт кабинета №19 робототехника("Точка роста" - технологическое направление)</t>
  </si>
  <si>
    <t>Ремонт кабинета №21 и лаборантской("Точка роста" - химия )</t>
  </si>
  <si>
    <t>Ремонт кабинета №22 и лаборантской ("Точка роста" - биология)</t>
  </si>
  <si>
    <t>Сантехнические работы в каб. "Точки роста"</t>
  </si>
  <si>
    <t xml:space="preserve">Ремонт кровли здания </t>
  </si>
  <si>
    <t>Ремонт ограждений спортивной площадки между школами</t>
  </si>
  <si>
    <t>приобретение краски для покраски  забора</t>
  </si>
  <si>
    <t>Текущий ремонт коридора 2 этажа блока "Б" в МБОУ ЦР "Лад"</t>
  </si>
  <si>
    <t>Текущий ремонт системы отопления в помещениях</t>
  </si>
  <si>
    <t>текущий ремонт помещений здания бани в ДОЛ "Лесной городок"</t>
  </si>
  <si>
    <t>Замена решетки в зале музея боевой славы В.О. в каб.25</t>
  </si>
  <si>
    <t>Текущий ремонт в группах № 6,9,10</t>
  </si>
  <si>
    <t>текущий ремонт канализации в санузле групп № 4,12</t>
  </si>
  <si>
    <t>Текущий ремонт основания пола</t>
  </si>
  <si>
    <t>Текущий ремонт канализационных труб от основного здания к канализационному люку со стороны пищеблока</t>
  </si>
  <si>
    <t>текущий ремонт линолеума в спортивном и театральном залах</t>
  </si>
  <si>
    <t>Установка обратных клапанов к термостатическим смесителям</t>
  </si>
  <si>
    <t>Ремонт циркуляционных стояков горячего водоснабжения</t>
  </si>
  <si>
    <t>ремонт козырьков из поликарбоната над центральным входами в здание</t>
  </si>
  <si>
    <t>замена распределительных коллекторов системы теплого пола</t>
  </si>
  <si>
    <t>Демонтаж козырьков из поликарбоната, выходящих на пешеходную дорожку                (4 шт.)</t>
  </si>
  <si>
    <t>ремонт крыльца центрального входа в школу ( путь эвакуации)</t>
  </si>
  <si>
    <t>Замена окон в спортивном зале</t>
  </si>
  <si>
    <t>Ремонт кровли здания над спорзалом</t>
  </si>
  <si>
    <t>Замена витражей на 1-3 этажах (7 шт.)</t>
  </si>
  <si>
    <t>Ремонт кровли здания над спортзалом</t>
  </si>
  <si>
    <t>Текущий ремонт музея "Русская изба" в МБОУ ЦР "Лад"</t>
  </si>
  <si>
    <t>Замена приборов учета воды, теплоэнергии</t>
  </si>
  <si>
    <t>Замена автоматической пожарной сигнализации в центральном блоке</t>
  </si>
  <si>
    <t>замена трубопровода холодной воды под столовой</t>
  </si>
  <si>
    <t>ремонт основного теплового узла,замена чугунных вентилей, замена задвижек</t>
  </si>
  <si>
    <t>Замена приборов учета</t>
  </si>
  <si>
    <t>Обследование капитального ремонта здания</t>
  </si>
  <si>
    <t>текущий ремонт канализацонных труб от основного здания к канализационному люку со стороны пищеблока</t>
  </si>
  <si>
    <t>ремонт котлов,замена детаоей и узлов</t>
  </si>
  <si>
    <t>замена насоса циркулярного</t>
  </si>
  <si>
    <t>текущий ремонт трубопроводов ГВС</t>
  </si>
  <si>
    <t>замена покрытия пола из линолиумоа</t>
  </si>
  <si>
    <t>текущий ремонт трубопроводов  хол.воды</t>
  </si>
  <si>
    <t>установка узлов смешивания  отопление теплых полов</t>
  </si>
  <si>
    <t>ремонт установки для очистки воды</t>
  </si>
  <si>
    <t xml:space="preserve">Отделка путей эвакуации отделочными материалами с высокой степенью пожарной опасности </t>
  </si>
  <si>
    <t>Перенос электроснабжения пищеблока</t>
  </si>
  <si>
    <t>двери в коридоре и на лестничной клетке предусмотренные документацией</t>
  </si>
  <si>
    <t>замена 1 двери в щитовую комнату</t>
  </si>
  <si>
    <t>Замена системы автоматической пожарной сигнализации</t>
  </si>
  <si>
    <t>разработка проектно сметной документации на ремонтные работы системы энергосбережения пищеблока</t>
  </si>
  <si>
    <t>Ремонт музыкального зала, ремонт кровли, ремонт полового покрытия и т.д.</t>
  </si>
  <si>
    <t>Ремонт освещения в реакриациях</t>
  </si>
  <si>
    <t>Замена счетчиков холодной и горячей воды</t>
  </si>
  <si>
    <t>Текущий ремонт осветительной сети в реакриациях и в актовом зале</t>
  </si>
  <si>
    <t>Ремонт бетонного основания крыльца главного входа</t>
  </si>
  <si>
    <t>Ремонт СКУД и перенос ручного извещателя АУПС</t>
  </si>
  <si>
    <t>ремонт крыльца главного входа</t>
  </si>
  <si>
    <t>Ремонт чугунной трубы к канализационному колодцу</t>
  </si>
  <si>
    <t>теккущий ремонт стен в раздевалке  группы № 13</t>
  </si>
  <si>
    <t>Замена приборов учета (ХВ,ГВС, теплэнергии, тепловыч.)</t>
  </si>
  <si>
    <t>ремонт системы речевого оповещения</t>
  </si>
  <si>
    <t>замена блока оповещения об эвакуации</t>
  </si>
  <si>
    <t>Увеличение дверного проема</t>
  </si>
  <si>
    <t>Разработка проекта системы видеонаблюдения и АПС</t>
  </si>
  <si>
    <t>ремонт декоративной арки при входе вгруппу</t>
  </si>
  <si>
    <t>Замена задвижки фланцевой  в котельной</t>
  </si>
  <si>
    <t>Устройство примыкания на кровле блоков</t>
  </si>
  <si>
    <t>Освидетельствование здания котельной</t>
  </si>
  <si>
    <t>замена труб горячего водоснабжения в подвале</t>
  </si>
  <si>
    <t>ремонт дощатого покрытия веранд</t>
  </si>
  <si>
    <t>ремонт трубопровода ГВС</t>
  </si>
  <si>
    <t>рпазработка проектно-сметной документации СОУЭП при пожаре</t>
  </si>
  <si>
    <t>Замена канализации в группах</t>
  </si>
  <si>
    <t>ГКМХ</t>
  </si>
  <si>
    <t>Ремонт внутренних противопожарных стояков</t>
  </si>
  <si>
    <t>Замена светильников наружного освещения с лампой ДРЛ на светодиодные</t>
  </si>
  <si>
    <t>Ремонт покрытия пола с ремонтом системы отопления пола</t>
  </si>
  <si>
    <t>Монтаж системы оповещения и управления эвакуаций при пожаре</t>
  </si>
  <si>
    <t>Замена на лестницах двух деревянных этажей на противопожарные, замена дверного блока</t>
  </si>
  <si>
    <t>Замена дверных блоков противопожарные на запасных лестницах</t>
  </si>
  <si>
    <t>Текущий ремонт элеваторного узла с установкой приборов учета в начальной школе</t>
  </si>
  <si>
    <t>Ремонт кровлии наружной стены бассейна</t>
  </si>
  <si>
    <t>демонтаж веранд</t>
  </si>
  <si>
    <t>текущий ремонт помещений ДОЛ "Лесной городок"</t>
  </si>
  <si>
    <t>Ремонт каб.28 РДДМ</t>
  </si>
  <si>
    <t>Ремонт кабинета серетаря</t>
  </si>
  <si>
    <t>Оборуждование центрального входа стрелкового тира для маломобильных групп населения</t>
  </si>
  <si>
    <t>2.1.1.</t>
  </si>
  <si>
    <t>Общеобразовательных учреждений (текущий ремонт)</t>
  </si>
  <si>
    <t>2.1.2.</t>
  </si>
  <si>
    <t>Учреждения дополнительного образования (текущий ремонт)</t>
  </si>
  <si>
    <t>2.1.3.</t>
  </si>
  <si>
    <t>Дошкольных учреждений  (текущий ремонт)</t>
  </si>
  <si>
    <t>2.2.</t>
  </si>
  <si>
    <t>Обеспечение пожарной безопасности образовательных учреждений согласно требованиям  пожарной безопасностина 100 %</t>
  </si>
  <si>
    <t>Обеспечение пожарной безопасности образовательных учреждений</t>
  </si>
  <si>
    <t>Замена трансформаторов тока,плавких предохранителей на автоматические выключатели в ВРУ</t>
  </si>
  <si>
    <t xml:space="preserve">Реконструкция АПС с заменой датчиков </t>
  </si>
  <si>
    <t>Разработка проекта на систему оповещенияи управления эвакуацией</t>
  </si>
  <si>
    <t>Перенос датчиков пожарной сигнализации от осветительных приборов - основное здание</t>
  </si>
  <si>
    <t>Замена планов эвакуации в основном здании</t>
  </si>
  <si>
    <t>оснащение системной охранной сигнализацией</t>
  </si>
  <si>
    <t>2.3.</t>
  </si>
  <si>
    <t xml:space="preserve">Обеспечение антитеррористической защищенности, пожарной безопасности общеобразовательных организаций .                            </t>
  </si>
  <si>
    <t>2.3.1.</t>
  </si>
  <si>
    <t>Поставка мегафона  и оповещателя</t>
  </si>
  <si>
    <t>2.3.2.</t>
  </si>
  <si>
    <t>Приобретение первичных средств пожаротушения (огнетушители)</t>
  </si>
  <si>
    <t xml:space="preserve">Обеспечение 100 % контроля по периметру здания в целях предупреждения возникновения угроз различного характера                   </t>
  </si>
  <si>
    <t>2.3.3.</t>
  </si>
  <si>
    <t>Дополнительное оборудование здания начальных классов системой наружного и внутреннего  видеонаблюдения.</t>
  </si>
  <si>
    <t>Охват видеонаблюдением до 80 % помещений общего пользования лестничные клетки и коридоры 1-2 эт. здания начальных классов; фойе и рекриации 2-3 эт. в основном здании)</t>
  </si>
  <si>
    <t>2.3.4.</t>
  </si>
  <si>
    <t xml:space="preserve">Дополнительное оборудование основного здания  системой наружного и внутреннего видеонаблюдения: </t>
  </si>
  <si>
    <t>Доборудование дополнительными сетевыми камерами и коммутационной стойкой системы видеонаблюдения, видеорегистрации ЛВС основное здание "МБОУ СОШ № 1".</t>
  </si>
  <si>
    <t>Ремонт системы видеонаблюдения и установка дополнительного речевого модуля системы оповещения</t>
  </si>
  <si>
    <t>100% охват рекриаций 1-3 этажей видеонаблюдением, качественное воспроизведение записей, обеспеченность антитеррористической защищенности объекта на всех этажах</t>
  </si>
  <si>
    <t>2.3.5.</t>
  </si>
  <si>
    <t>Оборудование видеокамерами цветного изображения рекреаций 1-3 этажей</t>
  </si>
  <si>
    <t>Замена 30% автоматических выключателей для защиты распределительной сети</t>
  </si>
  <si>
    <t>2.3.6.</t>
  </si>
  <si>
    <t>Испытание пожарных лестниц</t>
  </si>
  <si>
    <t>2.4.</t>
  </si>
  <si>
    <t>Приобретение автоматических выключателей в электрощитки (замена)</t>
  </si>
  <si>
    <t>2.4.1.</t>
  </si>
  <si>
    <t>"Укрепление материально-технической базы образовательных учреждений.</t>
  </si>
  <si>
    <t>Укрепление МТБ муниципальных образовательных  учреждений за счет ремонтва зданий (помещений) в здании начальных классов средней школы № 1</t>
  </si>
  <si>
    <t>2.4.2.</t>
  </si>
  <si>
    <t>Управление образования,  МБОУ СОШ № 1</t>
  </si>
  <si>
    <t>2.4.3.</t>
  </si>
  <si>
    <t>приобретение мебели и оборудования в кабинет РДДМ</t>
  </si>
  <si>
    <t>2.5.</t>
  </si>
  <si>
    <t>Антитеррористическая безопасность.                             Паспорта безопасности</t>
  </si>
  <si>
    <t>2.5.1.</t>
  </si>
  <si>
    <t xml:space="preserve">Установка камер видеонаблюдения </t>
  </si>
  <si>
    <t>2.5.2</t>
  </si>
  <si>
    <t xml:space="preserve">Оказание охранных услуг </t>
  </si>
  <si>
    <t>2.5.3.</t>
  </si>
  <si>
    <t>Оснащение въездов на объект средствами снижения скорости</t>
  </si>
  <si>
    <t>2.5.4.</t>
  </si>
  <si>
    <t>Замена входных дверей главного запасного входа</t>
  </si>
  <si>
    <t>2.5.5.</t>
  </si>
  <si>
    <t>Синхронизация СКУД и домофонов</t>
  </si>
  <si>
    <t>2.5.6.</t>
  </si>
  <si>
    <t>Приобретение аккууляторов для КТС</t>
  </si>
  <si>
    <t>2.6.</t>
  </si>
  <si>
    <t>Мероприятия по подготовке  к новому учебному году</t>
  </si>
  <si>
    <t>Мероприяти по подготовке к началу учебного года муниципальных дошкольных образовательных учреждений</t>
  </si>
  <si>
    <t>Мероприяти по подготовке к началу учебного года муниципальных общеобразовательных учреждений</t>
  </si>
  <si>
    <t>Мероприяти по подготовке к началу учебного года муниципальных  образовательных учреждений</t>
  </si>
  <si>
    <t>Итого по разделу 2:</t>
  </si>
  <si>
    <t xml:space="preserve">     3.Выполнение муниципальных заданий</t>
  </si>
  <si>
    <t>Цель: Реализация основных общеобразовательных программ  дошкольного, начального, основного,  среднего  образования и  реализация дополнительных общеразвивающих программ</t>
  </si>
  <si>
    <t>Задача: Обеспечение условий реализации образовательных программ соответствующих уровней.</t>
  </si>
  <si>
    <t>3.1.</t>
  </si>
  <si>
    <t>Нормативные затраты, непосредственно связанные с оказанием муниципальных услуг</t>
  </si>
  <si>
    <t xml:space="preserve">Удельный вес численности детей дошкольных образовательных учреждений в возрасте от 3 до 7 лет, охваченных образовательными программами, соответствующими новому образовательному стандарту дошкольного образования - 100%
Численность детей в дошкольных образовательных учреждениях, приходящихся на одного педагогического работника, к 2020 году - 9,7, 2021 году - 9,7.
Доля детей-инвалидов дошкольного возраста, охваченных социальной поддержкой, -100%
Отношение среднемесячной заработной платы педагогических работников муниципальных дошкольных образовательных учреждений к средней заработной плате в общем образовании Владимирской области - 100%.
Удельный вес численности обучающихся в образовательных учреждениях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образованияк 2020 г. - 100%, 2021 году - 100%.
Удельный вес численности учащихся 9-10 классов, обучающихся по программам предпрофильной подготовки и программам профильного обучения к 2020 г. - 50%, 2021 г. - 52%, 2022 г. - 53%, 2023 г. - 54%.
Удельный вес численности обучающихся, занимающихся в первую смену, в общей численности обучающихся в муниципальных общеобразовательных учреждениях - 100%.
Число обучающихся в расчете на одного педагогического работника общего образования - 15,5.
Доля общеобразовательных учреждений, использующих дистанционные технологии, в общей численности общеобразовательных учреждений, к 2021 г. - 50%,  2022 г. - 50%,  2023 г. - 100%.
Удельный вес численности детей-инвалидов, обучающихся по программам общего образования на дому с использованием дистанционных образовательных технологий, в общей численности детей-инвалидов, которым не противопоказано обучение, к 2020 г. -5%, 2021-2%, 2022-2%, 2023-2%.
Отношение среднемесячной заработной платы педагогических работников образовательных учреждений общего образования к среднемесячной заработной плате во Владимирской области, 100%.
Охват детей в возрасте 5 - 18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5 - 18 лет) - к 2020 г. - 75%,2021г-76%, 2022г.-77%, 2023г.-78,5, 2024г.-80%.
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во Владимирской области - 100%
Удельный вес числа образовательных учреждений, в которых созданы органы коллегиального управления с участием общественности (родители, работодатели), в общем числе образовательных учреждений - 100%.
Удельный вес числа образовательных учреждений, обеспечивающих предоставление нормативно закрепленного перечня сведений о своей деятельности на официальных сайтах, в общем числе образовательных учреждений - 100%.
Доля детей-инвалидов в возрасте от 5 до 18 лет, получающих дополнительное образование, от общей численности детей-инвалидов данного возраста - к 2020 г. 46%, 2021г.-52%, 2022г.-58%, 2023г.-64%, 2024г.-70%.
Доля педагогических и руководящих работников муниципальных образовательных учреждений, прошедших в течение последних 3 лет повышение квалификации или профессиональную переподготовку, 100%
</t>
  </si>
  <si>
    <t>МБОУ ДО ЦВР "Лад" (з/пл. педагогов доведение до указа президента)</t>
  </si>
  <si>
    <t>МБОУ ДО ЦВР "Лад", МБОУ СОШ №1, СОШ " 2 , МБДОУ ЦРР Д/С №5; Д/с 3; Д/с 6</t>
  </si>
  <si>
    <t>3.2.</t>
  </si>
  <si>
    <t xml:space="preserve"> Выполнение  функций муниципального задания  </t>
  </si>
  <si>
    <t>МБОУ ДО ЦВР "Лад" (софин.)</t>
  </si>
  <si>
    <t>МБОУ ДО ЦВР "Лад"  (все расходы)</t>
  </si>
  <si>
    <t xml:space="preserve"> МБОУ ДО ЦВР "Лад" (з/плата)</t>
  </si>
  <si>
    <t>МБОУ ДО ЦВР  " Лад" (софинанс к обл.)</t>
  </si>
  <si>
    <t>МБОУ ДОД ЦВР "Лад" (софин.)</t>
  </si>
  <si>
    <t>МБДОУ Д/С №3</t>
  </si>
  <si>
    <t>МБДОУ  Д/С №5</t>
  </si>
  <si>
    <t>МБДОУ Д/С №6</t>
  </si>
  <si>
    <t xml:space="preserve"> МБОУ ДО ЦВР "Лад"(все расходы)</t>
  </si>
  <si>
    <t>МБОУ ДО  ЦВР "Лад" (з/плата)</t>
  </si>
  <si>
    <t>МБОУ ДО ЦВР " Лад"  (соф-е к обл)</t>
  </si>
  <si>
    <t xml:space="preserve"> МБОУ ДО ЦВР "Лад" (софин.)</t>
  </si>
  <si>
    <t>МБДОУ ЦРР д/с  № 3 (расх)</t>
  </si>
  <si>
    <t>МБДОУ  ЦРР д/с № 3 (з/пл)</t>
  </si>
  <si>
    <t>МБДОУ ЦРР д/с № 5 (расх)</t>
  </si>
  <si>
    <t>МБДОУ  ЦРР д/с № 5 (з/пл)</t>
  </si>
  <si>
    <t>МБДОУ  ЦРР д/с № 6 (расх)</t>
  </si>
  <si>
    <t>МБДОУ  ЦРР д/с № 6 (з/пл)</t>
  </si>
  <si>
    <t>МБОУ ДО  ЦВР "Лад"(расх)</t>
  </si>
  <si>
    <t>МБОУ ДО ЦВР "Лад"(соф-е к обл)</t>
  </si>
  <si>
    <t>МБОУ ДО  ЦВР "Лад" (софин.)</t>
  </si>
  <si>
    <t xml:space="preserve"> МБОУ ДО ЦВР "Лад"(мун зад)</t>
  </si>
  <si>
    <t xml:space="preserve"> Выполнение  функций муниципального задания</t>
  </si>
  <si>
    <t>3.3.</t>
  </si>
  <si>
    <r>
      <rPr>
        <sz val="16"/>
        <rFont val="Times New Roman"/>
        <family val="1"/>
      </rPr>
      <t xml:space="preserve">Обеспечение выплат ежемесячного денежного вознаграждения за </t>
    </r>
    <r>
      <rPr>
        <sz val="18"/>
        <rFont val="Times New Roman"/>
        <family val="1"/>
      </rPr>
      <t>классное руководство</t>
    </r>
    <r>
      <rPr>
        <sz val="16"/>
        <rFont val="Times New Roman"/>
        <family val="1"/>
      </rPr>
      <t xml:space="preserve"> педагогическим работникам государственных образовательных организаций субъектов РФ и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основныеобщеобразовательные программы</t>
    </r>
  </si>
  <si>
    <t>Дополнительное финансовое обеспечение деятельности групп продленного дня в муниципальных общеобразовательных организациях для обучающихся 1 классов</t>
  </si>
  <si>
    <t>Итого по разделу 3:</t>
  </si>
  <si>
    <t>4. Выполнение управленческих функций, обеспечивающих стабильность работы подведомственных учреждений</t>
  </si>
  <si>
    <t>Цель: Повышение эффективности управления  в системе образования</t>
  </si>
  <si>
    <t>Задача: Реализация расходов на обеспечение деятельности муниципальных учреждений</t>
  </si>
  <si>
    <t>4.1.</t>
  </si>
  <si>
    <t xml:space="preserve"> Расходы на обеспечение деятельности (оказания услуг) муниципальных организаци</t>
  </si>
  <si>
    <t>ЦБ, МК упр. образования</t>
  </si>
  <si>
    <t xml:space="preserve"> Своевременное повышение квалификации работников управления образования ЗАТО г.Радужный, образовательных учреждений в 2017 г.-80%, 2018 г.-81%, 2019 г.- 82%, 2020г. 90% , 2021г.-92%, 2022г.-95%, 2023г.-97%.</t>
  </si>
  <si>
    <t>5. "Социальная поддержка населения"</t>
  </si>
  <si>
    <t>Цель: Обеспечение социальной поддержки населения</t>
  </si>
  <si>
    <t>Задача: Реализация расходов на на социальную поддержку населения</t>
  </si>
  <si>
    <t>5.1.</t>
  </si>
  <si>
    <t>Социальная поддержка детей-инвалидов дошкольного возраста</t>
  </si>
  <si>
    <t>Доля детей-инвалидов дошкольного возраста, охваченных социальной поддержкой: 2017 год -100%, 2018 год - 100%, 2019 год - 100%, 2020 год - 100%, 2021 год - 100%, 2022 год - 100%, 2023 год - 100%</t>
  </si>
  <si>
    <t>5.2.</t>
  </si>
  <si>
    <t>Соцальная поддерка по оплате жилья и коммуных услуг отдельным категориям граждан</t>
  </si>
  <si>
    <t>Доля  граждан, получивших компенсацию расходов на оплату жилых помещений, отопления и освещения, в общей численности граждан, имеющих право на данную компенсацию: 2017 год -100%, 2018 год - 100%, 2019 год - 100%, 2020 год - 100%, 2021 год - 100%, 2022 год - 100%, 2023 год - 100%</t>
  </si>
  <si>
    <t>5.3.</t>
  </si>
  <si>
    <t>Компенсация части родительской платы за содержание ребенка в  муниципальных образовательных учреждениях</t>
  </si>
  <si>
    <t>Доля  граждан, получивших компенсацию части родительской платы за соде6ржание ребенка в муниципальных образовательных учреждениях, в общей численности граждан, имеющих право на данную компенсацию: 2017 год -100%, 2018 год - 100%, 2019 год - 100%, 2020 год - 100%, 2021 год - 100%, 2022 год - 100%, 2023 год - 100%."</t>
  </si>
  <si>
    <t>Итого по разделу 5: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</si>
  <si>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</si>
  <si>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6. Обеспечение персонифицированного  дополнительного образования детей</t>
  </si>
  <si>
    <t>Цель: Реализация дополнительных общеразвивающих программ для детей</t>
  </si>
  <si>
    <t xml:space="preserve">Задача: Обеспечение условий реализации дополнительных общеразвивающих программ для детей </t>
  </si>
  <si>
    <t>6.1.</t>
  </si>
  <si>
    <t>Обеспечение персонифицированного дополнительного образования детей</t>
  </si>
  <si>
    <t>Управление образования, Комитет по культуре и спорту</t>
  </si>
  <si>
    <t>6.2.</t>
  </si>
  <si>
    <t>Муниципальный социальный заказ на оказание муниципальных услуг в социальной сфере по направлению деятельности «реализация дополнительных образовательных программ (за исключением дополнительных предпрофессиональных программ в области искусств)</t>
  </si>
  <si>
    <t>Итого по разделу 6:</t>
  </si>
  <si>
    <t>ИТОГО по подпрограмме:</t>
  </si>
  <si>
    <t>2017-2025г.г.</t>
  </si>
  <si>
    <t xml:space="preserve">" Приложение № 3 к программе "Развитие образования </t>
  </si>
  <si>
    <t xml:space="preserve">                                      4.  Мероприятия муниципальной подпрограммы   «Совершенствование организации питания обучающихся муниципальных  общеобразовательных  учреждений на территории 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</si>
  <si>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Наименование меропр</t>
  </si>
  <si>
    <t>Срок исполнения</t>
  </si>
  <si>
    <t>Объем финансирования (тыс.руб.)</t>
  </si>
  <si>
    <t>Исполнители –ответственные за реализацию мероприятия</t>
  </si>
  <si>
    <t>Ожидаемые  результаты (количественные или качественные показатели)</t>
  </si>
  <si>
    <t>Собственные доходы:</t>
  </si>
  <si>
    <t>Субсидии , иные межбюджетные трансферты</t>
  </si>
  <si>
    <t>1. Организация питания обучающихся общеобразовательных оргнанизаций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</si>
  <si>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</si>
  <si>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r>
      <rPr>
        <b/>
        <sz val="14"/>
        <rFont val="Times New Roman"/>
        <family val="1"/>
      </rP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</si>
  <si>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</si>
  <si>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</si>
  <si>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Организация бесплатного горячего питания обучающихся , получающих начальное общее образование в муниципальных общеобоазовательных организациях</t>
  </si>
  <si>
    <t>Уровень удовлетворенности населения города качеством услуг в сфере дошкольного,общего образования составит  не менее 80%</t>
  </si>
  <si>
    <t>СОШ 1</t>
  </si>
  <si>
    <t>"МБОУ СОШ № 1"</t>
  </si>
  <si>
    <t>СОШ 2</t>
  </si>
  <si>
    <t>МБОУ СОШ №  2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</si>
  <si>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</si>
  <si>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>Обеспечение социальных гарантий прав детей на получение горячего питания в муниципальных общеобразовательных учреждениях в 2017 г.- по 2025г. - 100%</t>
  </si>
  <si>
    <t>Мероприятия по организации питания обучающихся 1-4 классов в образовательных организациях, в частных организациях по имеющим государственную аккредитацию основным общеобразовательным программам</t>
  </si>
  <si>
    <t xml:space="preserve"> Софинансирование обеспечения мероприятий по организации питания обучающихся 1-4 классов в муниципальных организациях, в частных организациях по имеющим государственную аккредитацию основным общеобразовательным программам</t>
  </si>
  <si>
    <t>сш1-65,0; сш2- 52,0</t>
  </si>
  <si>
    <t>1.2.3.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</si>
  <si>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</si>
  <si>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>сош1- 432,0; сош2- 469,0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</si>
  <si>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</si>
  <si>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</si>
  <si>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Оснащение пищеблоков современных технологическим оборудование в соответствии с СанПин в 2017 г.- 95%, 2018 г.- 96%, 2019 г.-97%, 2020 год - 98%, 2021 год - 99% по 2023 год -99%</t>
  </si>
  <si>
    <t>Управление образования сш№1-100,00, сш№2-100,00</t>
  </si>
  <si>
    <t>Уменьшение высоты потолка в холодильной камере для поддержания необходимого температурного режима - основное здание</t>
  </si>
  <si>
    <t>Установка вытяжной вентиляции в моечном отделении столовой здания начальных классов</t>
  </si>
  <si>
    <t>2. "Организация питания дошкольников"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</si>
  <si>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</si>
  <si>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t>Задача:   Обеспечение высокого качества и безопасности питания детей в дошкольных учреждениях.</t>
  </si>
  <si>
    <t xml:space="preserve"> Реализация мероприятий по предоставлению качественного питания для детей дошкольного возраста</t>
  </si>
  <si>
    <t>МБДОУ ЦЦР Д/С № 3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</si>
  <si>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г.- 100%, 2020 год - 100%, 2021 год - 100%,  2022 год - 100%, 2023 - 100%</t>
  </si>
  <si>
    <t>МБДОУ ЦЦР Д/С № 5</t>
  </si>
  <si>
    <t>МБДОУ ЦЦР Д/С № 6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</si>
  <si>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- 100%, 2021 г. - 100%, 2022г. - 100%, 2023- 100%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</si>
  <si>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</si>
  <si>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</si>
  <si>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>Проведение новодних утренников и приобретение новогодних подарков в 2017 г.-100%, 2018-100%, 2019-100%, 2020год - 100%, 2021 год - 100%, 2022 год - 100%, 2023год - 100%.</t>
  </si>
  <si>
    <t>Управление образования д/сад № 3-38,5, д/сад № 5-68,5, д/сад № 6-42,5</t>
  </si>
  <si>
    <t>Итого по подпрограмме :</t>
  </si>
  <si>
    <t>2017-2025 г.г.</t>
  </si>
  <si>
    <t xml:space="preserve">                               " Приложение № 4 к программе "Развитие образования </t>
  </si>
  <si>
    <t xml:space="preserve">                                                                   на территории ЗАТО г. Радужный Владимирской области" </t>
  </si>
  <si>
    <t>4.  Мероприятия муниципальной подпрограммы</t>
  </si>
  <si>
    <t>№</t>
  </si>
  <si>
    <t>Наименование мероприятия</t>
  </si>
  <si>
    <t>Срок  исполне-ния</t>
  </si>
  <si>
    <t>Исполнители -ответственные за реализацию мероприятий</t>
  </si>
  <si>
    <t>Ожидаемые результаты</t>
  </si>
  <si>
    <t>Из фед.-го бюджета</t>
  </si>
  <si>
    <t>Из областного бюджета</t>
  </si>
  <si>
    <t>1. Организация отдыха и оздоровления детей и подростков ЗАТО г.Радужный Владимисркой области в лагерях дневного пребывания.</t>
  </si>
  <si>
    <t xml:space="preserve">Цель:  повышение  удовлетворенности  населения  услугами  по  организации  отдыха  и  оздоровления  детей  и  подростков  </t>
  </si>
  <si>
    <t>Задача:  Организация отдыха и оздоровления детей и подростков с дневным пребываанием</t>
  </si>
  <si>
    <t xml:space="preserve">Организация отдыха и оздоровления детей в лагерях с дневным пребыванием детей    </t>
  </si>
  <si>
    <t xml:space="preserve"> Удельный вес детей и подростков, охваченных отдыхом в городских оздоровительных лагерях с дневным пребыванием    детей (к общему числу детей от 7 до 17 лет) :  2018 г. - 48% ; 2019 г. - 48%; 2020 -48% ,  2021-48% , 2022-48% , 2023-48% , 2024-48%, 2025-48%                       </t>
  </si>
  <si>
    <t>МБОУ ЦВР "Лад"</t>
  </si>
  <si>
    <t>Организация  культурно-экскурсионномго обслуживания в каникулярный период .</t>
  </si>
  <si>
    <t>МБОУ  ДО ЦВР "Лад"</t>
  </si>
  <si>
    <t>Удельный вес обучающихся общеобразовательных организаций, принявших участие в экскурсионных поездках в каникулярный период за счет средств субсидии из областного бюджета на организацию отдыха детей в каникулярное время (к общему числу обучающихся 1-х - 11-х классов муниципальных общеобразовательных организаций): 2018 г. - 30% ; 2019 г. -30% ;2020 г. -30%, 2021 г. -30%, 2022 г. -30%, 2023 г. -30%, 2024 -30%, 2025- 30%</t>
  </si>
  <si>
    <t>2. Участие в областных профильных сменах. Организация санаторно-курортного оздоровления.</t>
  </si>
  <si>
    <t xml:space="preserve">Цель: Организация отдыха и оздоровления детей, оказавшихся в трудной жизненной ситуации  </t>
  </si>
  <si>
    <t>Задача:  Организация санитарно- курортного оздоровления.Обеспечение мер социальной поддержки  детям и подросткам, нуждающимся в особой заботе государства.</t>
  </si>
  <si>
    <t>Организация санаторно- курортного лечения для часто болеющих детей и семей, нуждающихся в особой заботе государства, в санаториях "Мать и дитя" (приобретение путевок)</t>
  </si>
  <si>
    <t>МКУ "Комитет по культуре и спорту" (отдел по молодежной политике и вопросам демографии)</t>
  </si>
  <si>
    <t>Удовлетворенность потребности населения в санаторно-курортном оздоровлении детей  до 14 лет включительно: 2018 г. - 100% ; 2019 г. - 100%; 2020г. -100%, 2021 год - 100%, 2022г. -100%, 2023 год - 100%, 2024 год -100%, 2025-100%</t>
  </si>
  <si>
    <t xml:space="preserve">Полная или частичная оплата стоимости пребывания детей и подростков из семей, нуждающихся в особой заботе государства,оказавшихся в трудной жизненной ситуации в городских оздоровительных лагерях с дневным пребыванием детей, загородных оздоровительных лагерях;    профильных (специализированных) сменах                                   </t>
  </si>
  <si>
    <t>Управление образования (ЦВР)</t>
  </si>
  <si>
    <t>Удовлетвлоренность  семей, оказавшихся в трудной жизненной ситуации  услугами по организации отдыха и оздоровления детей в городских оздоровительных лагерях с дневным пребыванием детей,загородных оздоровительных лагерях, профильных (специализированных сменах):   2018 г. - 100% ; 2019 г. - 100%; 2020г. -100%, 2021 год - 100%, 2022г. -100%, 2023 год - 100%, 2024-100%,2025 год- 100%</t>
  </si>
  <si>
    <t xml:space="preserve">Обеспечение пожарной безопасности </t>
  </si>
  <si>
    <t>2019-2025</t>
  </si>
  <si>
    <t>МБОУ ДО ЦВР "Лад"- загородный лагерь</t>
  </si>
  <si>
    <t>Итого по разделу2:</t>
  </si>
  <si>
    <t>3. Организация отдыха детей в загородном лагере</t>
  </si>
  <si>
    <t>Цель: Развитие системы загородного оздоровительного лагеря, укрепление  материально-технической базы, обеспечение  безопасности жизни и здоровья детей</t>
  </si>
  <si>
    <t>Задача:  создание  условий  для  обеспечения  безопасного  пребывания  детей  и  подростков  в  загородном  оздоровительном  лагере</t>
  </si>
  <si>
    <t>Расходы на обеспечение деятельности (оказания услуг) детского оздоровительного  лагеря "Лесной городок"</t>
  </si>
  <si>
    <t>Удельный вес детей и подростков, охваченных отдыхом в загородном оздоровительном лагере "Лесной городок"(к общему числу детей от 7 до 17 лет)2018 г. - 18% ;2019 г. -18% 2020 г. -18% , 2020 г. -18%, 2021г. -13%, 2022 год - 13%, 2023г. -13%, 2024-13%, 2025-13%</t>
  </si>
  <si>
    <t>ФОТ  ЦВР "Лад"-Гагар.</t>
  </si>
  <si>
    <t>содерж  ЦВР "Лад"-Гаг</t>
  </si>
  <si>
    <t>ФОТ  ЦВР "Лад"- Гаг</t>
  </si>
  <si>
    <t>содерж  ЦВР "Лад"- Гаг</t>
  </si>
  <si>
    <t>3.2</t>
  </si>
  <si>
    <t>Расходы на проведение оздоровительной кампании
(путевка)</t>
  </si>
  <si>
    <t>Упр-е обр. - дол "Хрусталек"</t>
  </si>
  <si>
    <t>Содерж  ЦВР -дол (пут)</t>
  </si>
  <si>
    <t>ФОТ  ЦВР -дол (пут-ка)</t>
  </si>
  <si>
    <t xml:space="preserve"> ЦВР "Лад"- дол (пут.)</t>
  </si>
  <si>
    <t>Содерж ДОЛ -путевка</t>
  </si>
  <si>
    <t xml:space="preserve"> ЦВР "Лад"- дол пут</t>
  </si>
  <si>
    <t>Развитие и укрепление материально- технической базы загородного лагеря "Лесной городок", оказывающего услуги по организации отдыха и оздоровления детей</t>
  </si>
  <si>
    <t>Обеспечение максимальной доступности  услуг организаций отдыха детей и их оздоровления, повышение качества и безопасности отдыха детей , укрепление материально-технической базы загородного лагеря"</t>
  </si>
  <si>
    <t>3.4.</t>
  </si>
  <si>
    <t>Организация работ по благоустройству территории (капитальное строительство капитальный ремонт, ремонтные работы) загородного лагеря "Лесной городок":</t>
  </si>
  <si>
    <t>ЦВР "Лад"- заг лаг (рем АПС)</t>
  </si>
  <si>
    <t>ЦВР - дол рем. Санпав.</t>
  </si>
  <si>
    <t>Ремонт актового зала корпуса №10, ремонт рекреации 3 этажа корпуса №10 ЦВР "Лад"-ДОЛ</t>
  </si>
  <si>
    <t>Ремонт центрального входа корпуса №10 ЦВР "Лад"-ДОЛ</t>
  </si>
  <si>
    <t>3.5.</t>
  </si>
  <si>
    <t xml:space="preserve">Проведение мероприятий по обеспечению санитарно-гигиенического, противоэпидемиологического режима, медицинского осмотра работников и охраны в загородном лагере "Лесной городок". </t>
  </si>
  <si>
    <t>3.6.</t>
  </si>
  <si>
    <t>Разработка кадастровой карты-плана для саниторный охраны участка подземного водозабора</t>
  </si>
  <si>
    <t>ЦВР "Лад"- заг. лагерь</t>
  </si>
  <si>
    <t>3.7.</t>
  </si>
  <si>
    <t xml:space="preserve">ЦВР "Лад" -ДОЛ </t>
  </si>
  <si>
    <t>3.8.</t>
  </si>
  <si>
    <t>Разработка проектной документации на демонтаж павильонов</t>
  </si>
  <si>
    <t>3.9.</t>
  </si>
  <si>
    <t>Подготовка ДОЛ к летнему периоду (к летней оздоровительной компании 2020 года)</t>
  </si>
  <si>
    <t>ЦВР "Лад" - заг. Лагерь</t>
  </si>
  <si>
    <t>3.10.</t>
  </si>
  <si>
    <t xml:space="preserve">Частичная компенсация стоимости путевок в загородные оздоровительные организации для детей школьного возраста до 17 лет(включительно), проживающих на территории Владимирской области  </t>
  </si>
  <si>
    <t>Итого по подпрограмме 3:</t>
  </si>
  <si>
    <t xml:space="preserve">" Приложение № 5 к программе "Развитие образования </t>
  </si>
  <si>
    <t xml:space="preserve">  4.  Мероприятия муниципальной  программы «Обеспечение защиты прав и интересов детей-сирот и детей, оставшихся без попечения родителей»</t>
  </si>
  <si>
    <t>№  п/п</t>
  </si>
  <si>
    <t>Объём финансиро-вания (тыс.руб.)</t>
  </si>
  <si>
    <t>Другие собственные средства</t>
  </si>
  <si>
    <t>I. Организация осуществления деятельности по опеке и попечительству в отношении несовершенно-летних граждан.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</si>
  <si>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>:</t>
    </r>
    <r>
      <rPr>
        <b/>
        <sz val="12"/>
        <rFont val="Times New Roman"/>
        <family val="1"/>
      </rPr>
      <t xml:space="preserve">  Обеспечение адаптации детей-сирот, детей, оставшихся без попечения родителей, лиц из их числа в обществе и на рынке труда, создание условий для их социальной мобильности</t>
    </r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</si>
  <si>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</t>
  </si>
  <si>
    <t>1.</t>
  </si>
  <si>
    <t>Содержание ребенка в семье опекуна и в приемной семье , а также вознаграждения , причитающиеся приемным родителям, содержание отдела по опеке и попечительству</t>
  </si>
  <si>
    <t xml:space="preserve">Отдел опеки и попечительства </t>
  </si>
  <si>
    <t>100% охват мерами государственного обеспечения и социальной поддержки детям-сиротам и детям, оставшимся без попечения родителей, проживающим в замещающих семьях на территории ЗАТО г. Радужный</t>
  </si>
  <si>
    <t>2. Обеспечение жильем лиц из числа  детей-сирот , оставшихся без попечения родителей.</t>
  </si>
  <si>
    <t>Задача:  Предоставление мер государственного обеспечения и социальной поддержки детям-сиротам, детям , оставшимся без попечения родителей. Обеспечение жильем лиц из числа  детей-сирот , оставшихся без                                         попечения родителей.</t>
  </si>
  <si>
    <t>Обеспечение жильем детей -сирот, оставшихся без попечения родителей</t>
  </si>
  <si>
    <t>предоставление благоустроенного жилого помещения спец. жилищного фонда 3 лицам из числа детей-сирот и детей, оставшихся без попечения родителей</t>
  </si>
  <si>
    <t>Итого по подпрограмме 4:</t>
  </si>
</sst>
</file>

<file path=xl/styles.xml><?xml version="1.0" encoding="utf-8"?>
<styleSheet xmlns="http://schemas.openxmlformats.org/spreadsheetml/2006/main">
  <numFmts count="24">
    <numFmt numFmtId="164" formatCode="General"/>
    <numFmt numFmtId="165" formatCode="0"/>
    <numFmt numFmtId="166" formatCode="_-* #,##0.00_р_._-;\-* #,##0.00_р_._-;_-* \-??_р_._-;_-@_-"/>
    <numFmt numFmtId="167" formatCode="_-* #,##0.00000_р_._-;\-* #,##0.00000_р_._-;_-* \-??_р_._-;_-@_-"/>
    <numFmt numFmtId="168" formatCode="@"/>
    <numFmt numFmtId="169" formatCode="#,##0_ ;\-#,##0\ "/>
    <numFmt numFmtId="170" formatCode="0.00000"/>
    <numFmt numFmtId="171" formatCode="0.0000"/>
    <numFmt numFmtId="172" formatCode="0.00"/>
    <numFmt numFmtId="173" formatCode="0.000000"/>
    <numFmt numFmtId="174" formatCode="dd/mm/yyyy"/>
    <numFmt numFmtId="175" formatCode="dd/mmm"/>
    <numFmt numFmtId="176" formatCode="mm/yy"/>
    <numFmt numFmtId="177" formatCode="#,##0.0000"/>
    <numFmt numFmtId="178" formatCode="#,##0.00000_ ;\-#,##0.00000\ "/>
    <numFmt numFmtId="179" formatCode="0.000"/>
    <numFmt numFmtId="180" formatCode="0.0"/>
    <numFmt numFmtId="181" formatCode="#,##0.000"/>
    <numFmt numFmtId="182" formatCode="#,##0.00000"/>
    <numFmt numFmtId="183" formatCode="#,##0"/>
    <numFmt numFmtId="184" formatCode="_-* #,##0.00000_р_._-;\-* #,##0.00000_р_._-;_-* \-??_р_._-;_-@_-"/>
    <numFmt numFmtId="185" formatCode="General"/>
    <numFmt numFmtId="186" formatCode="_-* #,##0.00&quot;р.&quot;_-;\-* #,##0.00&quot;р.&quot;_-;_-* \-??&quot;р.&quot;_-;_-@_-"/>
    <numFmt numFmtId="187" formatCode="_-* #,##0.0000_р_._-;\-* #,##0.0000_р_._-;_-* \-??_р_._-;_-@_-"/>
  </numFmts>
  <fonts count="34">
    <font>
      <sz val="10"/>
      <name val="Arial Cyr"/>
      <family val="0"/>
    </font>
    <font>
      <sz val="10"/>
      <name val="Arial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0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name val="Arial Cyr"/>
      <family val="0"/>
    </font>
    <font>
      <b/>
      <sz val="16"/>
      <name val="Arial Cyr"/>
      <family val="0"/>
    </font>
    <font>
      <b/>
      <i/>
      <sz val="14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5"/>
      <name val="Times New Roman"/>
      <family val="1"/>
    </font>
    <font>
      <b/>
      <sz val="14"/>
      <name val="Arial Cyr"/>
      <family val="0"/>
    </font>
    <font>
      <sz val="18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86" fontId="0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2" fillId="0" borderId="1">
      <alignment horizontal="center" vertical="top" shrinkToFit="1"/>
      <protection/>
    </xf>
  </cellStyleXfs>
  <cellXfs count="962">
    <xf numFmtId="164" fontId="0" fillId="0" borderId="0" xfId="0" applyAlignment="1">
      <alignment/>
    </xf>
    <xf numFmtId="164" fontId="3" fillId="0" borderId="0" xfId="0" applyFont="1" applyFill="1" applyAlignment="1">
      <alignment horizontal="center"/>
    </xf>
    <xf numFmtId="164" fontId="3" fillId="0" borderId="0" xfId="0" applyFont="1" applyFill="1" applyAlignment="1">
      <alignment/>
    </xf>
    <xf numFmtId="167" fontId="4" fillId="0" borderId="0" xfId="15" applyNumberFormat="1" applyFont="1" applyFill="1" applyBorder="1" applyAlignment="1" applyProtection="1">
      <alignment/>
      <protection/>
    </xf>
    <xf numFmtId="164" fontId="5" fillId="0" borderId="0" xfId="0" applyFont="1" applyFill="1" applyAlignment="1">
      <alignment/>
    </xf>
    <xf numFmtId="164" fontId="5" fillId="0" borderId="2" xfId="0" applyFont="1" applyFill="1" applyBorder="1" applyAlignment="1">
      <alignment horizontal="left" vertical="top"/>
    </xf>
    <xf numFmtId="164" fontId="4" fillId="0" borderId="0" xfId="0" applyFont="1" applyFill="1" applyAlignment="1">
      <alignment/>
    </xf>
    <xf numFmtId="164" fontId="5" fillId="0" borderId="0" xfId="0" applyFont="1" applyFill="1" applyBorder="1" applyAlignment="1">
      <alignment horizontal="left" vertical="top"/>
    </xf>
    <xf numFmtId="164" fontId="4" fillId="0" borderId="0" xfId="0" applyFont="1" applyFill="1" applyBorder="1" applyAlignment="1">
      <alignment horizontal="center"/>
    </xf>
    <xf numFmtId="164" fontId="4" fillId="0" borderId="2" xfId="0" applyFont="1" applyFill="1" applyBorder="1" applyAlignment="1">
      <alignment horizontal="center"/>
    </xf>
    <xf numFmtId="164" fontId="4" fillId="0" borderId="0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wrapText="1"/>
    </xf>
    <xf numFmtId="164" fontId="5" fillId="0" borderId="3" xfId="0" applyFont="1" applyFill="1" applyBorder="1" applyAlignment="1">
      <alignment horizontal="left" vertical="top"/>
    </xf>
    <xf numFmtId="164" fontId="4" fillId="0" borderId="4" xfId="0" applyFont="1" applyFill="1" applyBorder="1" applyAlignment="1">
      <alignment horizontal="center"/>
    </xf>
    <xf numFmtId="164" fontId="7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center" vertical="center" wrapText="1"/>
    </xf>
    <xf numFmtId="164" fontId="7" fillId="0" borderId="6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7" fillId="0" borderId="7" xfId="0" applyFont="1" applyFill="1" applyBorder="1" applyAlignment="1">
      <alignment horizontal="center" vertical="center" wrapText="1"/>
    </xf>
    <xf numFmtId="168" fontId="7" fillId="0" borderId="1" xfId="0" applyNumberFormat="1" applyFont="1" applyFill="1" applyBorder="1" applyAlignment="1">
      <alignment horizontal="center" vertical="center" wrapText="1"/>
    </xf>
    <xf numFmtId="167" fontId="4" fillId="0" borderId="1" xfId="15" applyNumberFormat="1" applyFont="1" applyFill="1" applyBorder="1" applyAlignment="1" applyProtection="1">
      <alignment horizontal="center" vertical="center" wrapText="1"/>
      <protection/>
    </xf>
    <xf numFmtId="164" fontId="7" fillId="0" borderId="8" xfId="0" applyFont="1" applyFill="1" applyBorder="1" applyAlignment="1">
      <alignment horizontal="center"/>
    </xf>
    <xf numFmtId="164" fontId="7" fillId="0" borderId="1" xfId="0" applyFont="1" applyFill="1" applyBorder="1" applyAlignment="1">
      <alignment horizontal="center" vertical="top" wrapText="1"/>
    </xf>
    <xf numFmtId="169" fontId="7" fillId="0" borderId="1" xfId="15" applyNumberFormat="1" applyFont="1" applyFill="1" applyBorder="1" applyAlignment="1" applyProtection="1">
      <alignment horizontal="center" vertical="top" wrapText="1"/>
      <protection/>
    </xf>
    <xf numFmtId="164" fontId="8" fillId="0" borderId="9" xfId="0" applyFont="1" applyFill="1" applyBorder="1" applyAlignment="1">
      <alignment horizontal="center" vertical="top" wrapText="1"/>
    </xf>
    <xf numFmtId="164" fontId="8" fillId="0" borderId="2" xfId="0" applyFont="1" applyFill="1" applyBorder="1" applyAlignment="1">
      <alignment horizontal="center" vertical="top" wrapText="1"/>
    </xf>
    <xf numFmtId="164" fontId="7" fillId="0" borderId="10" xfId="0" applyFont="1" applyFill="1" applyBorder="1" applyAlignment="1">
      <alignment horizontal="center" vertical="top" wrapText="1"/>
    </xf>
    <xf numFmtId="164" fontId="7" fillId="0" borderId="2" xfId="0" applyFont="1" applyFill="1" applyBorder="1" applyAlignment="1">
      <alignment horizontal="center" vertical="top" wrapText="1"/>
    </xf>
    <xf numFmtId="164" fontId="4" fillId="0" borderId="11" xfId="0" applyFont="1" applyFill="1" applyBorder="1" applyAlignment="1">
      <alignment horizontal="left" wrapText="1"/>
    </xf>
    <xf numFmtId="164" fontId="4" fillId="0" borderId="2" xfId="0" applyFont="1" applyFill="1" applyBorder="1" applyAlignment="1">
      <alignment horizontal="left" wrapText="1"/>
    </xf>
    <xf numFmtId="164" fontId="4" fillId="0" borderId="11" xfId="0" applyNumberFormat="1" applyFont="1" applyFill="1" applyBorder="1" applyAlignment="1">
      <alignment horizontal="left" vertical="top" wrapText="1"/>
    </xf>
    <xf numFmtId="164" fontId="4" fillId="0" borderId="2" xfId="0" applyNumberFormat="1" applyFont="1" applyFill="1" applyBorder="1" applyAlignment="1">
      <alignment horizontal="left" vertical="top" wrapText="1"/>
    </xf>
    <xf numFmtId="168" fontId="8" fillId="0" borderId="11" xfId="0" applyNumberFormat="1" applyFont="1" applyFill="1" applyBorder="1" applyAlignment="1">
      <alignment horizontal="left"/>
    </xf>
    <xf numFmtId="168" fontId="8" fillId="0" borderId="2" xfId="0" applyNumberFormat="1" applyFont="1" applyFill="1" applyBorder="1" applyAlignment="1">
      <alignment horizontal="left"/>
    </xf>
    <xf numFmtId="164" fontId="4" fillId="0" borderId="8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center" wrapText="1"/>
    </xf>
    <xf numFmtId="164" fontId="7" fillId="0" borderId="12" xfId="0" applyFont="1" applyFill="1" applyBorder="1" applyAlignment="1">
      <alignment horizontal="center" vertical="center" wrapText="1"/>
    </xf>
    <xf numFmtId="170" fontId="7" fillId="0" borderId="5" xfId="0" applyNumberFormat="1" applyFont="1" applyFill="1" applyBorder="1" applyAlignment="1">
      <alignment horizontal="center" vertical="center" wrapText="1"/>
    </xf>
    <xf numFmtId="167" fontId="4" fillId="0" borderId="5" xfId="15" applyNumberFormat="1" applyFont="1" applyFill="1" applyBorder="1" applyAlignment="1" applyProtection="1">
      <alignment horizontal="center" vertical="center" wrapText="1"/>
      <protection/>
    </xf>
    <xf numFmtId="164" fontId="7" fillId="0" borderId="13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top" wrapText="1"/>
    </xf>
    <xf numFmtId="164" fontId="3" fillId="0" borderId="7" xfId="0" applyFont="1" applyFill="1" applyBorder="1" applyAlignment="1">
      <alignment horizontal="center" vertical="top" wrapText="1"/>
    </xf>
    <xf numFmtId="164" fontId="7" fillId="0" borderId="14" xfId="0" applyFont="1" applyFill="1" applyBorder="1" applyAlignment="1">
      <alignment horizontal="center"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center" vertical="center" wrapText="1"/>
    </xf>
    <xf numFmtId="170" fontId="4" fillId="0" borderId="5" xfId="0" applyNumberFormat="1" applyFont="1" applyFill="1" applyBorder="1" applyAlignment="1">
      <alignment horizontal="center" vertical="center" wrapText="1"/>
    </xf>
    <xf numFmtId="170" fontId="4" fillId="0" borderId="6" xfId="0" applyNumberFormat="1" applyFont="1" applyFill="1" applyBorder="1" applyAlignment="1">
      <alignment horizontal="center" vertical="center" wrapText="1"/>
    </xf>
    <xf numFmtId="164" fontId="5" fillId="0" borderId="16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4" fillId="0" borderId="17" xfId="0" applyFont="1" applyFill="1" applyBorder="1" applyAlignment="1">
      <alignment horizontal="center" vertical="center" wrapText="1"/>
    </xf>
    <xf numFmtId="170" fontId="4" fillId="0" borderId="17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horizontal="center" vertical="center" wrapText="1"/>
    </xf>
    <xf numFmtId="170" fontId="4" fillId="0" borderId="1" xfId="0" applyNumberFormat="1" applyFont="1" applyFill="1" applyBorder="1" applyAlignment="1">
      <alignment horizontal="center" vertical="center" wrapText="1"/>
    </xf>
    <xf numFmtId="170" fontId="4" fillId="0" borderId="16" xfId="0" applyNumberFormat="1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 horizontal="center" vertical="center" wrapText="1"/>
    </xf>
    <xf numFmtId="164" fontId="11" fillId="0" borderId="16" xfId="0" applyFont="1" applyFill="1" applyBorder="1" applyAlignment="1">
      <alignment horizontal="center" vertical="center" wrapText="1"/>
    </xf>
    <xf numFmtId="164" fontId="8" fillId="0" borderId="16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/>
    </xf>
    <xf numFmtId="164" fontId="7" fillId="0" borderId="17" xfId="0" applyFont="1" applyFill="1" applyBorder="1" applyAlignment="1">
      <alignment horizontal="center" vertical="center" wrapText="1"/>
    </xf>
    <xf numFmtId="170" fontId="7" fillId="0" borderId="18" xfId="0" applyNumberFormat="1" applyFont="1" applyFill="1" applyBorder="1" applyAlignment="1">
      <alignment horizontal="center" vertical="center" wrapText="1"/>
    </xf>
    <xf numFmtId="170" fontId="7" fillId="0" borderId="19" xfId="0" applyNumberFormat="1" applyFont="1" applyFill="1" applyBorder="1" applyAlignment="1">
      <alignment horizontal="center" vertical="center" wrapText="1"/>
    </xf>
    <xf numFmtId="167" fontId="4" fillId="0" borderId="19" xfId="15" applyNumberFormat="1" applyFont="1" applyFill="1" applyBorder="1" applyAlignment="1" applyProtection="1">
      <alignment horizontal="center" vertical="center" wrapText="1"/>
      <protection/>
    </xf>
    <xf numFmtId="170" fontId="7" fillId="0" borderId="20" xfId="0" applyNumberFormat="1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horizontal="center" vertical="top" wrapText="1"/>
    </xf>
    <xf numFmtId="164" fontId="5" fillId="0" borderId="7" xfId="0" applyFont="1" applyFill="1" applyBorder="1" applyAlignment="1">
      <alignment horizontal="center" vertical="center" wrapText="1"/>
    </xf>
    <xf numFmtId="170" fontId="7" fillId="0" borderId="16" xfId="0" applyNumberFormat="1" applyFont="1" applyFill="1" applyBorder="1" applyAlignment="1">
      <alignment horizontal="center" vertical="center" wrapText="1"/>
    </xf>
    <xf numFmtId="170" fontId="7" fillId="0" borderId="17" xfId="0" applyNumberFormat="1" applyFont="1" applyFill="1" applyBorder="1" applyAlignment="1">
      <alignment horizontal="center" vertical="center" wrapText="1"/>
    </xf>
    <xf numFmtId="164" fontId="4" fillId="0" borderId="16" xfId="0" applyFont="1" applyFill="1" applyBorder="1" applyAlignment="1">
      <alignment/>
    </xf>
    <xf numFmtId="170" fontId="4" fillId="0" borderId="21" xfId="0" applyNumberFormat="1" applyFont="1" applyFill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center" wrapText="1"/>
    </xf>
    <xf numFmtId="170" fontId="4" fillId="0" borderId="22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 wrapText="1"/>
    </xf>
    <xf numFmtId="170" fontId="4" fillId="0" borderId="23" xfId="0" applyNumberFormat="1" applyFont="1" applyFill="1" applyBorder="1" applyAlignment="1">
      <alignment horizontal="center" vertical="center" wrapText="1"/>
    </xf>
    <xf numFmtId="167" fontId="4" fillId="0" borderId="23" xfId="15" applyNumberFormat="1" applyFont="1" applyFill="1" applyBorder="1" applyAlignment="1" applyProtection="1">
      <alignment horizontal="center" vertical="center" wrapText="1"/>
      <protection/>
    </xf>
    <xf numFmtId="170" fontId="7" fillId="0" borderId="24" xfId="0" applyNumberFormat="1" applyFont="1" applyFill="1" applyBorder="1" applyAlignment="1">
      <alignment horizontal="center" vertical="center" wrapText="1"/>
    </xf>
    <xf numFmtId="164" fontId="12" fillId="0" borderId="16" xfId="0" applyFont="1" applyFill="1" applyBorder="1" applyAlignment="1">
      <alignment horizontal="center" vertical="center" wrapText="1"/>
    </xf>
    <xf numFmtId="164" fontId="7" fillId="0" borderId="18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center" vertical="center" wrapText="1"/>
    </xf>
    <xf numFmtId="164" fontId="11" fillId="0" borderId="7" xfId="0" applyFont="1" applyFill="1" applyBorder="1" applyAlignment="1">
      <alignment horizontal="center" vertical="center" wrapText="1"/>
    </xf>
    <xf numFmtId="168" fontId="5" fillId="0" borderId="8" xfId="0" applyNumberFormat="1" applyFont="1" applyFill="1" applyBorder="1" applyAlignment="1">
      <alignment horizontal="center" vertical="center"/>
    </xf>
    <xf numFmtId="168" fontId="12" fillId="0" borderId="16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/>
    </xf>
    <xf numFmtId="168" fontId="7" fillId="0" borderId="17" xfId="0" applyNumberFormat="1" applyFont="1" applyFill="1" applyBorder="1" applyAlignment="1">
      <alignment horizontal="center" vertical="center"/>
    </xf>
    <xf numFmtId="170" fontId="7" fillId="0" borderId="1" xfId="0" applyNumberFormat="1" applyFont="1" applyFill="1" applyBorder="1" applyAlignment="1">
      <alignment horizontal="center" vertical="center"/>
    </xf>
    <xf numFmtId="167" fontId="4" fillId="0" borderId="1" xfId="15" applyNumberFormat="1" applyFont="1" applyFill="1" applyBorder="1" applyAlignment="1" applyProtection="1">
      <alignment horizontal="center" vertical="center"/>
      <protection/>
    </xf>
    <xf numFmtId="170" fontId="7" fillId="0" borderId="16" xfId="0" applyNumberFormat="1" applyFont="1" applyFill="1" applyBorder="1" applyAlignment="1">
      <alignment horizontal="center" vertical="center"/>
    </xf>
    <xf numFmtId="168" fontId="8" fillId="0" borderId="16" xfId="0" applyNumberFormat="1" applyFont="1" applyFill="1" applyBorder="1" applyAlignment="1">
      <alignment horizontal="left"/>
    </xf>
    <xf numFmtId="164" fontId="11" fillId="0" borderId="1" xfId="0" applyNumberFormat="1" applyFont="1" applyFill="1" applyBorder="1" applyAlignment="1">
      <alignment horizontal="center" vertical="top" wrapText="1"/>
    </xf>
    <xf numFmtId="164" fontId="11" fillId="0" borderId="7" xfId="0" applyNumberFormat="1" applyFont="1" applyFill="1" applyBorder="1" applyAlignment="1">
      <alignment horizontal="center" vertical="top" wrapText="1"/>
    </xf>
    <xf numFmtId="168" fontId="4" fillId="0" borderId="17" xfId="0" applyNumberFormat="1" applyFont="1" applyFill="1" applyBorder="1" applyAlignment="1">
      <alignment horizontal="center" vertical="center"/>
    </xf>
    <xf numFmtId="170" fontId="4" fillId="0" borderId="1" xfId="0" applyNumberFormat="1" applyFont="1" applyFill="1" applyBorder="1" applyAlignment="1">
      <alignment horizontal="left"/>
    </xf>
    <xf numFmtId="170" fontId="4" fillId="0" borderId="24" xfId="0" applyNumberFormat="1" applyFont="1" applyFill="1" applyBorder="1" applyAlignment="1">
      <alignment horizontal="center" vertical="center" wrapText="1"/>
    </xf>
    <xf numFmtId="168" fontId="5" fillId="0" borderId="8" xfId="0" applyNumberFormat="1" applyFont="1" applyFill="1" applyBorder="1" applyAlignment="1">
      <alignment horizontal="left" vertical="center"/>
    </xf>
    <xf numFmtId="164" fontId="11" fillId="0" borderId="16" xfId="0" applyNumberFormat="1" applyFont="1" applyFill="1" applyBorder="1" applyAlignment="1">
      <alignment horizontal="left" vertical="center" wrapText="1"/>
    </xf>
    <xf numFmtId="168" fontId="5" fillId="0" borderId="16" xfId="0" applyNumberFormat="1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center" vertical="top" wrapText="1"/>
    </xf>
    <xf numFmtId="164" fontId="5" fillId="0" borderId="16" xfId="0" applyFont="1" applyFill="1" applyBorder="1" applyAlignment="1">
      <alignment horizontal="center" vertical="top" wrapText="1"/>
    </xf>
    <xf numFmtId="170" fontId="7" fillId="0" borderId="19" xfId="0" applyNumberFormat="1" applyFont="1" applyFill="1" applyBorder="1" applyAlignment="1">
      <alignment horizontal="center" vertical="center"/>
    </xf>
    <xf numFmtId="164" fontId="13" fillId="0" borderId="1" xfId="0" applyFont="1" applyFill="1" applyBorder="1" applyAlignment="1">
      <alignment horizontal="center" vertical="center" wrapText="1"/>
    </xf>
    <xf numFmtId="164" fontId="7" fillId="0" borderId="16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center" vertical="center" wrapText="1"/>
    </xf>
    <xf numFmtId="164" fontId="8" fillId="0" borderId="7" xfId="0" applyFont="1" applyFill="1" applyBorder="1" applyAlignment="1">
      <alignment horizontal="center" vertical="center" wrapText="1"/>
    </xf>
    <xf numFmtId="164" fontId="4" fillId="0" borderId="0" xfId="0" applyFont="1" applyFill="1" applyAlignment="1">
      <alignment vertical="center"/>
    </xf>
    <xf numFmtId="171" fontId="7" fillId="0" borderId="1" xfId="15" applyNumberFormat="1" applyFont="1" applyFill="1" applyBorder="1" applyAlignment="1" applyProtection="1">
      <alignment horizontal="center" vertical="center" wrapText="1"/>
      <protection/>
    </xf>
    <xf numFmtId="171" fontId="7" fillId="0" borderId="16" xfId="15" applyNumberFormat="1" applyFont="1" applyFill="1" applyBorder="1" applyAlignment="1" applyProtection="1">
      <alignment horizontal="center" vertical="center" wrapText="1"/>
      <protection/>
    </xf>
    <xf numFmtId="164" fontId="8" fillId="0" borderId="1" xfId="0" applyFont="1" applyFill="1" applyBorder="1" applyAlignment="1">
      <alignment horizontal="center" vertical="top" wrapText="1"/>
    </xf>
    <xf numFmtId="164" fontId="8" fillId="0" borderId="7" xfId="0" applyFont="1" applyFill="1" applyBorder="1" applyAlignment="1">
      <alignment horizontal="center" vertical="top" wrapText="1"/>
    </xf>
    <xf numFmtId="164" fontId="4" fillId="0" borderId="8" xfId="0" applyFont="1" applyFill="1" applyBorder="1" applyAlignment="1">
      <alignment horizontal="center" vertical="top"/>
    </xf>
    <xf numFmtId="170" fontId="7" fillId="0" borderId="1" xfId="15" applyNumberFormat="1" applyFont="1" applyFill="1" applyBorder="1" applyAlignment="1" applyProtection="1">
      <alignment horizontal="center" vertical="center" wrapText="1"/>
      <protection/>
    </xf>
    <xf numFmtId="170" fontId="4" fillId="0" borderId="16" xfId="0" applyNumberFormat="1" applyFont="1" applyFill="1" applyBorder="1" applyAlignment="1">
      <alignment horizontal="center" vertical="top" wrapText="1"/>
    </xf>
    <xf numFmtId="164" fontId="11" fillId="0" borderId="16" xfId="0" applyFont="1" applyFill="1" applyBorder="1" applyAlignment="1">
      <alignment horizontal="center" vertical="top" wrapText="1"/>
    </xf>
    <xf numFmtId="164" fontId="5" fillId="0" borderId="1" xfId="0" applyFont="1" applyFill="1" applyBorder="1" applyAlignment="1">
      <alignment horizontal="left" vertical="top" wrapText="1"/>
    </xf>
    <xf numFmtId="164" fontId="5" fillId="0" borderId="7" xfId="0" applyFont="1" applyFill="1" applyBorder="1" applyAlignment="1">
      <alignment horizontal="left" vertical="top" wrapText="1"/>
    </xf>
    <xf numFmtId="170" fontId="7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horizontal="center" vertical="top" wrapText="1"/>
    </xf>
    <xf numFmtId="167" fontId="4" fillId="0" borderId="1" xfId="15" applyNumberFormat="1" applyFont="1" applyFill="1" applyBorder="1" applyAlignment="1" applyProtection="1">
      <alignment horizontal="center" vertical="top" wrapText="1"/>
      <protection/>
    </xf>
    <xf numFmtId="170" fontId="4" fillId="0" borderId="16" xfId="0" applyNumberFormat="1" applyFont="1" applyFill="1" applyBorder="1" applyAlignment="1">
      <alignment vertical="top" wrapText="1"/>
    </xf>
    <xf numFmtId="164" fontId="11" fillId="0" borderId="16" xfId="0" applyFont="1" applyFill="1" applyBorder="1" applyAlignment="1">
      <alignment vertical="top" wrapText="1"/>
    </xf>
    <xf numFmtId="164" fontId="7" fillId="0" borderId="8" xfId="0" applyFont="1" applyFill="1" applyBorder="1" applyAlignment="1">
      <alignment vertical="top"/>
    </xf>
    <xf numFmtId="164" fontId="8" fillId="0" borderId="1" xfId="0" applyNumberFormat="1" applyFont="1" applyFill="1" applyBorder="1" applyAlignment="1">
      <alignment horizontal="center" vertical="center" wrapText="1"/>
    </xf>
    <xf numFmtId="170" fontId="12" fillId="0" borderId="16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top" wrapText="1"/>
    </xf>
    <xf numFmtId="170" fontId="8" fillId="0" borderId="7" xfId="0" applyNumberFormat="1" applyFont="1" applyFill="1" applyBorder="1" applyAlignment="1">
      <alignment horizontal="center" vertical="top" wrapText="1"/>
    </xf>
    <xf numFmtId="167" fontId="7" fillId="0" borderId="1" xfId="15" applyNumberFormat="1" applyFont="1" applyFill="1" applyBorder="1" applyAlignment="1" applyProtection="1">
      <alignment horizontal="center" vertical="center" wrapText="1"/>
      <protection/>
    </xf>
    <xf numFmtId="166" fontId="15" fillId="0" borderId="16" xfId="15" applyFont="1" applyFill="1" applyBorder="1" applyAlignment="1" applyProtection="1">
      <alignment horizontal="center" vertical="center" wrapText="1"/>
      <protection/>
    </xf>
    <xf numFmtId="170" fontId="8" fillId="0" borderId="25" xfId="0" applyNumberFormat="1" applyFont="1" applyFill="1" applyBorder="1" applyAlignment="1">
      <alignment horizontal="center" vertical="top" wrapText="1"/>
    </xf>
    <xf numFmtId="164" fontId="3" fillId="0" borderId="26" xfId="0" applyFont="1" applyFill="1" applyBorder="1" applyAlignment="1">
      <alignment/>
    </xf>
    <xf numFmtId="164" fontId="7" fillId="0" borderId="19" xfId="0" applyFont="1" applyFill="1" applyBorder="1" applyAlignment="1">
      <alignment horizontal="center" vertical="center" wrapText="1"/>
    </xf>
    <xf numFmtId="170" fontId="8" fillId="0" borderId="27" xfId="0" applyNumberFormat="1" applyFont="1" applyFill="1" applyBorder="1" applyAlignment="1">
      <alignment horizontal="center" vertical="top" wrapText="1"/>
    </xf>
    <xf numFmtId="168" fontId="4" fillId="0" borderId="8" xfId="0" applyNumberFormat="1" applyFont="1" applyFill="1" applyBorder="1" applyAlignment="1">
      <alignment horizontal="center" vertical="top"/>
    </xf>
    <xf numFmtId="172" fontId="5" fillId="0" borderId="1" xfId="0" applyNumberFormat="1" applyFont="1" applyFill="1" applyBorder="1" applyAlignment="1">
      <alignment horizontal="center" vertical="top" wrapText="1"/>
    </xf>
    <xf numFmtId="170" fontId="4" fillId="0" borderId="1" xfId="0" applyNumberFormat="1" applyFont="1" applyFill="1" applyBorder="1" applyAlignment="1">
      <alignment vertical="center" wrapText="1"/>
    </xf>
    <xf numFmtId="170" fontId="4" fillId="0" borderId="16" xfId="0" applyNumberFormat="1" applyFont="1" applyFill="1" applyBorder="1" applyAlignment="1">
      <alignment vertical="center" wrapText="1"/>
    </xf>
    <xf numFmtId="164" fontId="11" fillId="0" borderId="20" xfId="0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left" vertical="top" wrapText="1"/>
    </xf>
    <xf numFmtId="173" fontId="7" fillId="0" borderId="1" xfId="0" applyNumberFormat="1" applyFont="1" applyFill="1" applyBorder="1" applyAlignment="1">
      <alignment horizontal="center" vertical="center" wrapText="1"/>
    </xf>
    <xf numFmtId="173" fontId="7" fillId="0" borderId="1" xfId="0" applyNumberFormat="1" applyFont="1" applyFill="1" applyBorder="1" applyAlignment="1">
      <alignment horizontal="center" vertical="top" wrapText="1"/>
    </xf>
    <xf numFmtId="173" fontId="7" fillId="0" borderId="1" xfId="0" applyNumberFormat="1" applyFont="1" applyFill="1" applyBorder="1" applyAlignment="1">
      <alignment vertical="top" wrapText="1"/>
    </xf>
    <xf numFmtId="173" fontId="4" fillId="0" borderId="1" xfId="0" applyNumberFormat="1" applyFont="1" applyFill="1" applyBorder="1" applyAlignment="1">
      <alignment horizontal="center" vertical="top" wrapText="1"/>
    </xf>
    <xf numFmtId="174" fontId="5" fillId="0" borderId="1" xfId="0" applyNumberFormat="1" applyFont="1" applyFill="1" applyBorder="1" applyAlignment="1">
      <alignment horizontal="center" vertical="center" wrapText="1"/>
    </xf>
    <xf numFmtId="170" fontId="7" fillId="0" borderId="1" xfId="0" applyNumberFormat="1" applyFont="1" applyFill="1" applyBorder="1" applyAlignment="1">
      <alignment vertical="center" wrapText="1"/>
    </xf>
    <xf numFmtId="170" fontId="7" fillId="0" borderId="22" xfId="0" applyNumberFormat="1" applyFont="1" applyFill="1" applyBorder="1" applyAlignment="1">
      <alignment vertical="center" wrapText="1"/>
    </xf>
    <xf numFmtId="164" fontId="4" fillId="0" borderId="28" xfId="0" applyFont="1" applyFill="1" applyBorder="1" applyAlignment="1">
      <alignment horizontal="center" vertical="top"/>
    </xf>
    <xf numFmtId="175" fontId="5" fillId="0" borderId="29" xfId="0" applyNumberFormat="1" applyFont="1" applyFill="1" applyBorder="1" applyAlignment="1">
      <alignment horizontal="center" vertical="top" wrapText="1"/>
    </xf>
    <xf numFmtId="170" fontId="4" fillId="0" borderId="1" xfId="15" applyNumberFormat="1" applyFont="1" applyFill="1" applyBorder="1" applyAlignment="1" applyProtection="1">
      <alignment horizontal="left" vertical="center" wrapText="1"/>
      <protection/>
    </xf>
    <xf numFmtId="170" fontId="4" fillId="0" borderId="1" xfId="15" applyNumberFormat="1" applyFont="1" applyFill="1" applyBorder="1" applyAlignment="1" applyProtection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7" xfId="0" applyFont="1" applyFill="1" applyBorder="1" applyAlignment="1">
      <alignment horizontal="center" vertical="top" wrapText="1"/>
    </xf>
    <xf numFmtId="164" fontId="4" fillId="0" borderId="30" xfId="0" applyFont="1" applyFill="1" applyBorder="1" applyAlignment="1">
      <alignment horizontal="center" vertical="top"/>
    </xf>
    <xf numFmtId="175" fontId="5" fillId="0" borderId="30" xfId="0" applyNumberFormat="1" applyFont="1" applyFill="1" applyBorder="1" applyAlignment="1">
      <alignment horizontal="center" vertical="top" wrapText="1"/>
    </xf>
    <xf numFmtId="164" fontId="5" fillId="0" borderId="22" xfId="0" applyFont="1" applyFill="1" applyBorder="1" applyAlignment="1">
      <alignment horizontal="center" vertical="top" wrapText="1"/>
    </xf>
    <xf numFmtId="164" fontId="4" fillId="0" borderId="31" xfId="0" applyFont="1" applyFill="1" applyBorder="1" applyAlignment="1">
      <alignment horizontal="center" vertical="center"/>
    </xf>
    <xf numFmtId="164" fontId="4" fillId="0" borderId="31" xfId="0" applyFont="1" applyFill="1" applyBorder="1" applyAlignment="1">
      <alignment horizontal="center" vertical="center" wrapText="1"/>
    </xf>
    <xf numFmtId="164" fontId="7" fillId="0" borderId="32" xfId="0" applyFont="1" applyFill="1" applyBorder="1" applyAlignment="1">
      <alignment horizontal="center" vertical="top" wrapText="1"/>
    </xf>
    <xf numFmtId="170" fontId="7" fillId="0" borderId="33" xfId="0" applyNumberFormat="1" applyFont="1" applyFill="1" applyBorder="1" applyAlignment="1">
      <alignment horizontal="center" vertical="top" wrapText="1"/>
    </xf>
    <xf numFmtId="170" fontId="7" fillId="0" borderId="32" xfId="0" applyNumberFormat="1" applyFont="1" applyFill="1" applyBorder="1" applyAlignment="1">
      <alignment horizontal="center" vertical="center" wrapText="1"/>
    </xf>
    <xf numFmtId="170" fontId="7" fillId="0" borderId="34" xfId="0" applyNumberFormat="1" applyFont="1" applyFill="1" applyBorder="1" applyAlignment="1">
      <alignment horizontal="center" vertical="center" wrapText="1"/>
    </xf>
    <xf numFmtId="170" fontId="7" fillId="0" borderId="34" xfId="15" applyNumberFormat="1" applyFont="1" applyFill="1" applyBorder="1" applyAlignment="1" applyProtection="1">
      <alignment horizontal="center" vertical="center" wrapText="1"/>
      <protection/>
    </xf>
    <xf numFmtId="167" fontId="4" fillId="0" borderId="34" xfId="15" applyNumberFormat="1" applyFont="1" applyFill="1" applyBorder="1" applyAlignment="1" applyProtection="1">
      <alignment horizontal="center" vertical="center" wrapText="1"/>
      <protection/>
    </xf>
    <xf numFmtId="164" fontId="11" fillId="0" borderId="33" xfId="0" applyFont="1" applyFill="1" applyBorder="1" applyAlignment="1">
      <alignment horizontal="center" vertical="center" wrapText="1"/>
    </xf>
    <xf numFmtId="170" fontId="4" fillId="0" borderId="19" xfId="0" applyNumberFormat="1" applyFont="1" applyFill="1" applyBorder="1" applyAlignment="1">
      <alignment horizontal="center" vertical="center" wrapText="1"/>
    </xf>
    <xf numFmtId="170" fontId="7" fillId="0" borderId="19" xfId="0" applyNumberFormat="1" applyFont="1" applyFill="1" applyBorder="1" applyAlignment="1">
      <alignment vertical="center" wrapText="1"/>
    </xf>
    <xf numFmtId="170" fontId="7" fillId="0" borderId="35" xfId="0" applyNumberFormat="1" applyFont="1" applyFill="1" applyBorder="1" applyAlignment="1">
      <alignment horizontal="center" vertical="center" wrapText="1"/>
    </xf>
    <xf numFmtId="170" fontId="7" fillId="0" borderId="35" xfId="0" applyNumberFormat="1" applyFont="1" applyFill="1" applyBorder="1" applyAlignment="1">
      <alignment vertical="center" wrapText="1"/>
    </xf>
    <xf numFmtId="170" fontId="4" fillId="0" borderId="35" xfId="0" applyNumberFormat="1" applyFont="1" applyFill="1" applyBorder="1" applyAlignment="1">
      <alignment horizontal="center" vertical="center" wrapText="1"/>
    </xf>
    <xf numFmtId="167" fontId="4" fillId="0" borderId="35" xfId="15" applyNumberFormat="1" applyFont="1" applyFill="1" applyBorder="1" applyAlignment="1" applyProtection="1">
      <alignment horizontal="center" vertical="center" wrapText="1"/>
      <protection/>
    </xf>
    <xf numFmtId="164" fontId="11" fillId="0" borderId="36" xfId="0" applyFont="1" applyFill="1" applyBorder="1" applyAlignment="1">
      <alignment horizontal="center" vertical="center" wrapText="1"/>
    </xf>
    <xf numFmtId="164" fontId="7" fillId="0" borderId="37" xfId="0" applyFont="1" applyFill="1" applyBorder="1" applyAlignment="1">
      <alignment horizontal="center" vertical="top" wrapText="1"/>
    </xf>
    <xf numFmtId="170" fontId="7" fillId="0" borderId="38" xfId="0" applyNumberFormat="1" applyFont="1" applyFill="1" applyBorder="1" applyAlignment="1">
      <alignment horizontal="center" vertical="top" wrapText="1"/>
    </xf>
    <xf numFmtId="170" fontId="7" fillId="0" borderId="37" xfId="0" applyNumberFormat="1" applyFont="1" applyFill="1" applyBorder="1" applyAlignment="1">
      <alignment horizontal="center" vertical="top" wrapText="1"/>
    </xf>
    <xf numFmtId="170" fontId="7" fillId="0" borderId="39" xfId="0" applyNumberFormat="1" applyFont="1" applyFill="1" applyBorder="1" applyAlignment="1">
      <alignment horizontal="center" vertical="top" wrapText="1"/>
    </xf>
    <xf numFmtId="167" fontId="4" fillId="0" borderId="39" xfId="15" applyNumberFormat="1" applyFont="1" applyFill="1" applyBorder="1" applyAlignment="1" applyProtection="1">
      <alignment horizontal="center" vertical="top" wrapText="1"/>
      <protection/>
    </xf>
    <xf numFmtId="164" fontId="11" fillId="0" borderId="38" xfId="0" applyFont="1" applyFill="1" applyBorder="1" applyAlignment="1">
      <alignment horizontal="center" vertical="center" wrapText="1"/>
    </xf>
    <xf numFmtId="170" fontId="7" fillId="0" borderId="19" xfId="0" applyNumberFormat="1" applyFont="1" applyFill="1" applyBorder="1" applyAlignment="1">
      <alignment horizontal="center" vertical="top" wrapText="1"/>
    </xf>
    <xf numFmtId="170" fontId="4" fillId="0" borderId="19" xfId="0" applyNumberFormat="1" applyFont="1" applyFill="1" applyBorder="1" applyAlignment="1">
      <alignment horizontal="center" vertical="top" wrapText="1"/>
    </xf>
    <xf numFmtId="167" fontId="4" fillId="0" borderId="19" xfId="15" applyNumberFormat="1" applyFont="1" applyFill="1" applyBorder="1" applyAlignment="1" applyProtection="1">
      <alignment horizontal="center" vertical="top" wrapText="1"/>
      <protection/>
    </xf>
    <xf numFmtId="170" fontId="7" fillId="0" borderId="19" xfId="0" applyNumberFormat="1" applyFont="1" applyFill="1" applyBorder="1" applyAlignment="1">
      <alignment vertical="top" wrapText="1"/>
    </xf>
    <xf numFmtId="170" fontId="7" fillId="0" borderId="1" xfId="0" applyNumberFormat="1" applyFont="1" applyFill="1" applyBorder="1" applyAlignment="1">
      <alignment vertical="top" wrapText="1"/>
    </xf>
    <xf numFmtId="170" fontId="7" fillId="0" borderId="35" xfId="0" applyNumberFormat="1" applyFont="1" applyFill="1" applyBorder="1" applyAlignment="1">
      <alignment horizontal="center" vertical="top" wrapText="1"/>
    </xf>
    <xf numFmtId="170" fontId="4" fillId="0" borderId="35" xfId="0" applyNumberFormat="1" applyFont="1" applyFill="1" applyBorder="1" applyAlignment="1">
      <alignment horizontal="center" vertical="top" wrapText="1"/>
    </xf>
    <xf numFmtId="167" fontId="4" fillId="0" borderId="35" xfId="15" applyNumberFormat="1" applyFont="1" applyFill="1" applyBorder="1" applyAlignment="1" applyProtection="1">
      <alignment horizontal="center" vertical="top" wrapText="1"/>
      <protection/>
    </xf>
    <xf numFmtId="170" fontId="7" fillId="0" borderId="35" xfId="0" applyNumberFormat="1" applyFont="1" applyFill="1" applyBorder="1" applyAlignment="1">
      <alignment vertical="top" wrapText="1"/>
    </xf>
    <xf numFmtId="170" fontId="7" fillId="0" borderId="40" xfId="0" applyNumberFormat="1" applyFont="1" applyFill="1" applyBorder="1" applyAlignment="1">
      <alignment horizontal="center" vertical="top" wrapText="1"/>
    </xf>
    <xf numFmtId="164" fontId="11" fillId="0" borderId="13" xfId="0" applyFont="1" applyFill="1" applyBorder="1" applyAlignment="1">
      <alignment horizontal="center" vertical="center" wrapText="1"/>
    </xf>
    <xf numFmtId="170" fontId="4" fillId="0" borderId="40" xfId="0" applyNumberFormat="1" applyFont="1" applyFill="1" applyBorder="1" applyAlignment="1">
      <alignment vertical="top" wrapText="1"/>
    </xf>
    <xf numFmtId="164" fontId="5" fillId="0" borderId="41" xfId="0" applyFont="1" applyFill="1" applyBorder="1" applyAlignment="1">
      <alignment horizontal="center" vertical="center" wrapText="1"/>
    </xf>
    <xf numFmtId="170" fontId="7" fillId="0" borderId="22" xfId="0" applyNumberFormat="1" applyFont="1" applyFill="1" applyBorder="1" applyAlignment="1">
      <alignment horizontal="center" vertical="top" wrapText="1"/>
    </xf>
    <xf numFmtId="170" fontId="4" fillId="0" borderId="22" xfId="0" applyNumberFormat="1" applyFont="1" applyFill="1" applyBorder="1" applyAlignment="1">
      <alignment horizontal="center" vertical="top" wrapText="1"/>
    </xf>
    <xf numFmtId="167" fontId="4" fillId="0" borderId="22" xfId="15" applyNumberFormat="1" applyFont="1" applyFill="1" applyBorder="1" applyAlignment="1" applyProtection="1">
      <alignment horizontal="center" vertical="top" wrapText="1"/>
      <protection/>
    </xf>
    <xf numFmtId="170" fontId="7" fillId="0" borderId="22" xfId="0" applyNumberFormat="1" applyFont="1" applyFill="1" applyBorder="1" applyAlignment="1">
      <alignment vertical="top" wrapText="1"/>
    </xf>
    <xf numFmtId="164" fontId="7" fillId="0" borderId="24" xfId="0" applyFont="1" applyFill="1" applyBorder="1" applyAlignment="1">
      <alignment horizontal="center" vertical="top" wrapText="1"/>
    </xf>
    <xf numFmtId="170" fontId="7" fillId="0" borderId="42" xfId="0" applyNumberFormat="1" applyFont="1" applyFill="1" applyBorder="1" applyAlignment="1">
      <alignment horizontal="center" vertical="top" wrapText="1"/>
    </xf>
    <xf numFmtId="170" fontId="7" fillId="0" borderId="43" xfId="0" applyNumberFormat="1" applyFont="1" applyFill="1" applyBorder="1" applyAlignment="1">
      <alignment horizontal="center" vertical="top" wrapText="1"/>
    </xf>
    <xf numFmtId="170" fontId="7" fillId="0" borderId="34" xfId="0" applyNumberFormat="1" applyFont="1" applyFill="1" applyBorder="1" applyAlignment="1">
      <alignment horizontal="center" vertical="top" wrapText="1"/>
    </xf>
    <xf numFmtId="167" fontId="4" fillId="0" borderId="34" xfId="15" applyNumberFormat="1" applyFont="1" applyFill="1" applyBorder="1" applyAlignment="1" applyProtection="1">
      <alignment horizontal="center" vertical="top" wrapText="1"/>
      <protection/>
    </xf>
    <xf numFmtId="170" fontId="4" fillId="0" borderId="44" xfId="0" applyNumberFormat="1" applyFont="1" applyFill="1" applyBorder="1" applyAlignment="1">
      <alignment vertical="top" wrapText="1"/>
    </xf>
    <xf numFmtId="164" fontId="11" fillId="0" borderId="45" xfId="0" applyFont="1" applyFill="1" applyBorder="1" applyAlignment="1">
      <alignment horizontal="center" vertical="center" wrapText="1"/>
    </xf>
    <xf numFmtId="170" fontId="7" fillId="0" borderId="46" xfId="0" applyNumberFormat="1" applyFont="1" applyFill="1" applyBorder="1" applyAlignment="1">
      <alignment horizontal="center" vertical="top" wrapText="1"/>
    </xf>
    <xf numFmtId="170" fontId="7" fillId="0" borderId="20" xfId="0" applyNumberFormat="1" applyFont="1" applyFill="1" applyBorder="1" applyAlignment="1">
      <alignment vertical="top" wrapText="1"/>
    </xf>
    <xf numFmtId="164" fontId="11" fillId="0" borderId="47" xfId="0" applyFont="1" applyFill="1" applyBorder="1" applyAlignment="1">
      <alignment horizontal="center" vertical="center" wrapText="1"/>
    </xf>
    <xf numFmtId="170" fontId="7" fillId="0" borderId="16" xfId="0" applyNumberFormat="1" applyFont="1" applyFill="1" applyBorder="1" applyAlignment="1">
      <alignment vertical="top" wrapText="1"/>
    </xf>
    <xf numFmtId="170" fontId="7" fillId="0" borderId="29" xfId="0" applyNumberFormat="1" applyFont="1" applyFill="1" applyBorder="1" applyAlignment="1">
      <alignment vertical="top" wrapText="1"/>
    </xf>
    <xf numFmtId="164" fontId="7" fillId="0" borderId="29" xfId="0" applyFont="1" applyFill="1" applyBorder="1" applyAlignment="1">
      <alignment horizontal="center" vertical="top" wrapText="1"/>
    </xf>
    <xf numFmtId="170" fontId="4" fillId="0" borderId="39" xfId="0" applyNumberFormat="1" applyFont="1" applyFill="1" applyBorder="1" applyAlignment="1">
      <alignment horizontal="center" vertical="top" wrapText="1"/>
    </xf>
    <xf numFmtId="170" fontId="7" fillId="0" borderId="39" xfId="0" applyNumberFormat="1" applyFont="1" applyFill="1" applyBorder="1" applyAlignment="1">
      <alignment vertical="top" wrapText="1"/>
    </xf>
    <xf numFmtId="170" fontId="7" fillId="0" borderId="23" xfId="0" applyNumberFormat="1" applyFont="1" applyFill="1" applyBorder="1" applyAlignment="1">
      <alignment horizontal="center" vertical="top" wrapText="1"/>
    </xf>
    <xf numFmtId="164" fontId="11" fillId="0" borderId="29" xfId="0" applyFont="1" applyFill="1" applyBorder="1" applyAlignment="1">
      <alignment horizontal="center" vertical="center" wrapText="1"/>
    </xf>
    <xf numFmtId="175" fontId="16" fillId="0" borderId="48" xfId="0" applyNumberFormat="1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 wrapText="1"/>
    </xf>
    <xf numFmtId="170" fontId="7" fillId="0" borderId="44" xfId="0" applyNumberFormat="1" applyFont="1" applyFill="1" applyBorder="1" applyAlignment="1">
      <alignment horizontal="center" vertical="top" wrapText="1"/>
    </xf>
    <xf numFmtId="170" fontId="4" fillId="0" borderId="34" xfId="0" applyNumberFormat="1" applyFont="1" applyFill="1" applyBorder="1" applyAlignment="1">
      <alignment horizontal="center" vertical="top" wrapText="1"/>
    </xf>
    <xf numFmtId="164" fontId="11" fillId="0" borderId="49" xfId="0" applyFont="1" applyFill="1" applyBorder="1" applyAlignment="1">
      <alignment horizontal="center" vertical="center" wrapText="1"/>
    </xf>
    <xf numFmtId="170" fontId="7" fillId="0" borderId="18" xfId="0" applyNumberFormat="1" applyFont="1" applyFill="1" applyBorder="1" applyAlignment="1">
      <alignment horizontal="center" vertical="top" wrapText="1"/>
    </xf>
    <xf numFmtId="170" fontId="7" fillId="0" borderId="17" xfId="0" applyNumberFormat="1" applyFont="1" applyFill="1" applyBorder="1" applyAlignment="1">
      <alignment horizontal="center" vertical="top" wrapText="1"/>
    </xf>
    <xf numFmtId="170" fontId="7" fillId="0" borderId="50" xfId="0" applyNumberFormat="1" applyFont="1" applyFill="1" applyBorder="1" applyAlignment="1">
      <alignment horizontal="center" vertical="top" wrapText="1"/>
    </xf>
    <xf numFmtId="170" fontId="7" fillId="0" borderId="37" xfId="0" applyNumberFormat="1" applyFont="1" applyFill="1" applyBorder="1" applyAlignment="1">
      <alignment horizontal="center" vertical="center" wrapText="1"/>
    </xf>
    <xf numFmtId="170" fontId="7" fillId="0" borderId="39" xfId="0" applyNumberFormat="1" applyFont="1" applyFill="1" applyBorder="1" applyAlignment="1">
      <alignment horizontal="center" vertical="center" wrapText="1"/>
    </xf>
    <xf numFmtId="167" fontId="4" fillId="0" borderId="39" xfId="15" applyNumberFormat="1" applyFont="1" applyFill="1" applyBorder="1" applyAlignment="1" applyProtection="1">
      <alignment horizontal="center" vertical="center" wrapText="1"/>
      <protection/>
    </xf>
    <xf numFmtId="170" fontId="7" fillId="0" borderId="40" xfId="0" applyNumberFormat="1" applyFont="1" applyFill="1" applyBorder="1" applyAlignment="1">
      <alignment horizontal="center" vertical="center" wrapText="1"/>
    </xf>
    <xf numFmtId="164" fontId="7" fillId="0" borderId="51" xfId="0" applyFont="1" applyFill="1" applyBorder="1" applyAlignment="1">
      <alignment horizontal="center" vertical="top" wrapText="1"/>
    </xf>
    <xf numFmtId="170" fontId="7" fillId="0" borderId="52" xfId="0" applyNumberFormat="1" applyFont="1" applyFill="1" applyBorder="1" applyAlignment="1">
      <alignment horizontal="center" vertical="top" wrapText="1"/>
    </xf>
    <xf numFmtId="167" fontId="7" fillId="0" borderId="39" xfId="15" applyNumberFormat="1" applyFont="1" applyFill="1" applyBorder="1" applyAlignment="1" applyProtection="1">
      <alignment horizontal="center" vertical="center" wrapText="1"/>
      <protection/>
    </xf>
    <xf numFmtId="164" fontId="7" fillId="0" borderId="39" xfId="0" applyFont="1" applyFill="1" applyBorder="1" applyAlignment="1">
      <alignment horizontal="center" vertical="top" wrapText="1"/>
    </xf>
    <xf numFmtId="168" fontId="4" fillId="0" borderId="37" xfId="0" applyNumberFormat="1" applyFont="1" applyFill="1" applyBorder="1" applyAlignment="1">
      <alignment horizontal="center" vertical="top"/>
    </xf>
    <xf numFmtId="164" fontId="5" fillId="0" borderId="39" xfId="0" applyFont="1" applyFill="1" applyBorder="1" applyAlignment="1">
      <alignment horizontal="center" vertical="top" wrapText="1"/>
    </xf>
    <xf numFmtId="164" fontId="7" fillId="0" borderId="12" xfId="0" applyFont="1" applyFill="1" applyBorder="1" applyAlignment="1">
      <alignment horizontal="center" vertical="top" wrapText="1"/>
    </xf>
    <xf numFmtId="164" fontId="7" fillId="0" borderId="17" xfId="0" applyFont="1" applyFill="1" applyBorder="1" applyAlignment="1">
      <alignment horizontal="center" vertical="top" wrapText="1"/>
    </xf>
    <xf numFmtId="164" fontId="7" fillId="0" borderId="43" xfId="0" applyFont="1" applyFill="1" applyBorder="1" applyAlignment="1">
      <alignment horizontal="center" vertical="top" wrapText="1"/>
    </xf>
    <xf numFmtId="164" fontId="4" fillId="0" borderId="37" xfId="0" applyNumberFormat="1" applyFont="1" applyFill="1" applyBorder="1" applyAlignment="1">
      <alignment horizontal="center" vertical="top"/>
    </xf>
    <xf numFmtId="164" fontId="7" fillId="0" borderId="53" xfId="0" applyFont="1" applyFill="1" applyBorder="1" applyAlignment="1">
      <alignment horizontal="center" vertical="top" wrapText="1"/>
    </xf>
    <xf numFmtId="164" fontId="5" fillId="0" borderId="38" xfId="0" applyFont="1" applyFill="1" applyBorder="1" applyAlignment="1">
      <alignment horizontal="center" vertical="center" wrapText="1"/>
    </xf>
    <xf numFmtId="164" fontId="4" fillId="0" borderId="48" xfId="0" applyFont="1" applyFill="1" applyBorder="1" applyAlignment="1">
      <alignment horizontal="center" vertical="top"/>
    </xf>
    <xf numFmtId="164" fontId="5" fillId="0" borderId="23" xfId="0" applyFont="1" applyFill="1" applyBorder="1" applyAlignment="1">
      <alignment horizontal="left" vertical="top" wrapText="1"/>
    </xf>
    <xf numFmtId="164" fontId="7" fillId="0" borderId="54" xfId="0" applyFont="1" applyFill="1" applyBorder="1" applyAlignment="1">
      <alignment horizontal="center" vertical="top" wrapText="1"/>
    </xf>
    <xf numFmtId="170" fontId="7" fillId="0" borderId="23" xfId="0" applyNumberFormat="1" applyFont="1" applyFill="1" applyBorder="1" applyAlignment="1">
      <alignment horizontal="center" vertical="center" wrapText="1"/>
    </xf>
    <xf numFmtId="166" fontId="4" fillId="0" borderId="23" xfId="15" applyFont="1" applyFill="1" applyBorder="1" applyAlignment="1" applyProtection="1">
      <alignment wrapText="1"/>
      <protection/>
    </xf>
    <xf numFmtId="164" fontId="11" fillId="0" borderId="24" xfId="0" applyFont="1" applyFill="1" applyBorder="1" applyAlignment="1">
      <alignment horizontal="center" vertical="center" wrapText="1"/>
    </xf>
    <xf numFmtId="168" fontId="7" fillId="0" borderId="37" xfId="0" applyNumberFormat="1" applyFont="1" applyFill="1" applyBorder="1" applyAlignment="1">
      <alignment horizontal="center" vertical="top"/>
    </xf>
    <xf numFmtId="164" fontId="4" fillId="0" borderId="39" xfId="0" applyFont="1" applyFill="1" applyBorder="1" applyAlignment="1">
      <alignment horizontal="center" vertical="center" wrapText="1"/>
    </xf>
    <xf numFmtId="164" fontId="7" fillId="0" borderId="5" xfId="0" applyFont="1" applyFill="1" applyBorder="1" applyAlignment="1">
      <alignment horizontal="center" vertical="top" wrapText="1"/>
    </xf>
    <xf numFmtId="172" fontId="11" fillId="0" borderId="6" xfId="15" applyNumberFormat="1" applyFont="1" applyFill="1" applyBorder="1" applyAlignment="1" applyProtection="1">
      <alignment vertical="center" wrapText="1"/>
      <protection/>
    </xf>
    <xf numFmtId="164" fontId="8" fillId="0" borderId="1" xfId="0" applyFont="1" applyFill="1" applyBorder="1" applyAlignment="1">
      <alignment horizontal="left" vertical="top" wrapText="1"/>
    </xf>
    <xf numFmtId="164" fontId="8" fillId="0" borderId="7" xfId="0" applyFont="1" applyFill="1" applyBorder="1" applyAlignment="1">
      <alignment horizontal="left" vertical="top" wrapText="1"/>
    </xf>
    <xf numFmtId="164" fontId="17" fillId="0" borderId="0" xfId="0" applyFont="1" applyFill="1" applyAlignment="1">
      <alignment/>
    </xf>
    <xf numFmtId="164" fontId="7" fillId="0" borderId="35" xfId="0" applyFont="1" applyFill="1" applyBorder="1" applyAlignment="1">
      <alignment horizontal="center" vertical="center" wrapText="1"/>
    </xf>
    <xf numFmtId="168" fontId="7" fillId="0" borderId="32" xfId="0" applyNumberFormat="1" applyFont="1" applyFill="1" applyBorder="1" applyAlignment="1">
      <alignment horizontal="center" vertical="top"/>
    </xf>
    <xf numFmtId="164" fontId="4" fillId="0" borderId="34" xfId="0" applyFont="1" applyFill="1" applyBorder="1" applyAlignment="1">
      <alignment horizontal="center" vertical="center" wrapText="1"/>
    </xf>
    <xf numFmtId="164" fontId="7" fillId="0" borderId="43" xfId="0" applyFont="1" applyFill="1" applyBorder="1" applyAlignment="1">
      <alignment horizontal="center" vertical="center" wrapText="1"/>
    </xf>
    <xf numFmtId="170" fontId="4" fillId="0" borderId="55" xfId="0" applyNumberFormat="1" applyFont="1" applyFill="1" applyBorder="1" applyAlignment="1">
      <alignment horizontal="center" vertical="center" wrapText="1"/>
    </xf>
    <xf numFmtId="170" fontId="4" fillId="0" borderId="34" xfId="0" applyNumberFormat="1" applyFont="1" applyFill="1" applyBorder="1" applyAlignment="1">
      <alignment horizontal="center" vertical="center" wrapText="1"/>
    </xf>
    <xf numFmtId="164" fontId="5" fillId="0" borderId="33" xfId="0" applyFont="1" applyFill="1" applyBorder="1" applyAlignment="1">
      <alignment horizontal="center" vertical="center" wrapText="1"/>
    </xf>
    <xf numFmtId="164" fontId="7" fillId="0" borderId="37" xfId="0" applyFont="1" applyFill="1" applyBorder="1" applyAlignment="1">
      <alignment horizontal="center" vertical="top"/>
    </xf>
    <xf numFmtId="164" fontId="11" fillId="0" borderId="39" xfId="0" applyFont="1" applyFill="1" applyBorder="1" applyAlignment="1">
      <alignment horizontal="center" vertical="center" wrapText="1"/>
    </xf>
    <xf numFmtId="164" fontId="7" fillId="0" borderId="41" xfId="0" applyFont="1" applyFill="1" applyBorder="1" applyAlignment="1">
      <alignment horizontal="center" vertical="center" wrapText="1"/>
    </xf>
    <xf numFmtId="170" fontId="4" fillId="0" borderId="39" xfId="0" applyNumberFormat="1" applyFont="1" applyFill="1" applyBorder="1" applyAlignment="1">
      <alignment horizontal="center" vertical="center" wrapText="1"/>
    </xf>
    <xf numFmtId="164" fontId="18" fillId="0" borderId="52" xfId="0" applyFont="1" applyFill="1" applyBorder="1" applyAlignment="1">
      <alignment horizontal="center" vertical="center" wrapText="1"/>
    </xf>
    <xf numFmtId="164" fontId="7" fillId="0" borderId="37" xfId="0" applyFont="1" applyFill="1" applyBorder="1" applyAlignment="1">
      <alignment horizontal="center" vertical="center" wrapText="1"/>
    </xf>
    <xf numFmtId="164" fontId="11" fillId="0" borderId="56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 wrapText="1"/>
    </xf>
    <xf numFmtId="164" fontId="11" fillId="0" borderId="57" xfId="0" applyFont="1" applyFill="1" applyBorder="1" applyAlignment="1">
      <alignment horizontal="center" vertical="center" wrapText="1"/>
    </xf>
    <xf numFmtId="164" fontId="7" fillId="0" borderId="22" xfId="0" applyFont="1" applyFill="1" applyBorder="1" applyAlignment="1">
      <alignment horizontal="center" vertical="center" wrapText="1"/>
    </xf>
    <xf numFmtId="164" fontId="5" fillId="0" borderId="6" xfId="0" applyFont="1" applyFill="1" applyBorder="1" applyAlignment="1">
      <alignment horizontal="center" vertical="center" wrapText="1"/>
    </xf>
    <xf numFmtId="164" fontId="4" fillId="0" borderId="22" xfId="0" applyFont="1" applyFill="1" applyBorder="1" applyAlignment="1">
      <alignment horizontal="center" vertical="center" wrapText="1"/>
    </xf>
    <xf numFmtId="167" fontId="4" fillId="0" borderId="22" xfId="15" applyNumberFormat="1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>
      <alignment horizontal="center" vertical="center"/>
    </xf>
    <xf numFmtId="176" fontId="7" fillId="0" borderId="51" xfId="0" applyNumberFormat="1" applyFont="1" applyFill="1" applyBorder="1" applyAlignment="1">
      <alignment horizontal="center" vertical="top"/>
    </xf>
    <xf numFmtId="164" fontId="18" fillId="0" borderId="22" xfId="0" applyFont="1" applyFill="1" applyBorder="1" applyAlignment="1">
      <alignment horizontal="center" vertical="center" wrapText="1"/>
    </xf>
    <xf numFmtId="164" fontId="10" fillId="0" borderId="1" xfId="0" applyFont="1" applyFill="1" applyBorder="1" applyAlignment="1">
      <alignment horizontal="center" vertical="center"/>
    </xf>
    <xf numFmtId="167" fontId="7" fillId="0" borderId="22" xfId="15" applyNumberFormat="1" applyFont="1" applyFill="1" applyBorder="1" applyAlignment="1" applyProtection="1">
      <alignment horizontal="center" vertical="center" wrapText="1"/>
      <protection/>
    </xf>
    <xf numFmtId="164" fontId="10" fillId="0" borderId="22" xfId="0" applyFont="1" applyFill="1" applyBorder="1" applyAlignment="1">
      <alignment horizontal="center" vertical="center"/>
    </xf>
    <xf numFmtId="164" fontId="5" fillId="0" borderId="22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top"/>
    </xf>
    <xf numFmtId="164" fontId="18" fillId="0" borderId="1" xfId="0" applyFont="1" applyFill="1" applyBorder="1" applyAlignment="1">
      <alignment horizontal="center" vertical="center" wrapText="1"/>
    </xf>
    <xf numFmtId="164" fontId="3" fillId="0" borderId="32" xfId="0" applyFont="1" applyFill="1" applyBorder="1" applyAlignment="1">
      <alignment horizontal="center"/>
    </xf>
    <xf numFmtId="164" fontId="6" fillId="0" borderId="34" xfId="0" applyFont="1" applyFill="1" applyBorder="1" applyAlignment="1">
      <alignment horizontal="center" vertical="top" wrapText="1"/>
    </xf>
    <xf numFmtId="164" fontId="7" fillId="0" borderId="18" xfId="0" applyNumberFormat="1" applyFont="1" applyFill="1" applyBorder="1" applyAlignment="1">
      <alignment horizontal="center" vertical="top" wrapText="1"/>
    </xf>
    <xf numFmtId="171" fontId="5" fillId="0" borderId="20" xfId="0" applyNumberFormat="1" applyFont="1" applyFill="1" applyBorder="1" applyAlignment="1">
      <alignment horizontal="center" vertical="center" wrapText="1"/>
    </xf>
    <xf numFmtId="171" fontId="5" fillId="0" borderId="19" xfId="0" applyNumberFormat="1" applyFont="1" applyFill="1" applyBorder="1" applyAlignment="1">
      <alignment horizontal="center" vertical="top" wrapText="1"/>
    </xf>
    <xf numFmtId="171" fontId="5" fillId="0" borderId="7" xfId="0" applyNumberFormat="1" applyFont="1" applyFill="1" applyBorder="1" applyAlignment="1">
      <alignment horizontal="center" vertical="top" wrapText="1"/>
    </xf>
    <xf numFmtId="164" fontId="7" fillId="0" borderId="17" xfId="0" applyNumberFormat="1" applyFont="1" applyFill="1" applyBorder="1" applyAlignment="1">
      <alignment horizontal="center" vertical="top" wrapText="1"/>
    </xf>
    <xf numFmtId="171" fontId="5" fillId="0" borderId="16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top" wrapText="1"/>
    </xf>
    <xf numFmtId="164" fontId="7" fillId="0" borderId="22" xfId="0" applyNumberFormat="1" applyFont="1" applyFill="1" applyBorder="1" applyAlignment="1">
      <alignment horizontal="center" vertical="top" wrapText="1"/>
    </xf>
    <xf numFmtId="171" fontId="5" fillId="0" borderId="29" xfId="0" applyNumberFormat="1" applyFont="1" applyFill="1" applyBorder="1" applyAlignment="1">
      <alignment horizontal="center" vertical="center" wrapText="1"/>
    </xf>
    <xf numFmtId="164" fontId="7" fillId="0" borderId="35" xfId="0" applyNumberFormat="1" applyFont="1" applyFill="1" applyBorder="1" applyAlignment="1">
      <alignment horizontal="center" vertical="top" wrapText="1"/>
    </xf>
    <xf numFmtId="164" fontId="7" fillId="0" borderId="58" xfId="0" applyFont="1" applyFill="1" applyBorder="1" applyAlignment="1">
      <alignment horizontal="center" vertical="top" wrapText="1"/>
    </xf>
    <xf numFmtId="164" fontId="7" fillId="0" borderId="11" xfId="0" applyFont="1" applyFill="1" applyBorder="1" applyAlignment="1">
      <alignment horizontal="left" vertical="top" wrapText="1"/>
    </xf>
    <xf numFmtId="164" fontId="7" fillId="0" borderId="2" xfId="0" applyFont="1" applyFill="1" applyBorder="1" applyAlignment="1">
      <alignment horizontal="left" vertical="top" wrapText="1"/>
    </xf>
    <xf numFmtId="164" fontId="19" fillId="0" borderId="0" xfId="0" applyFont="1" applyFill="1" applyAlignment="1">
      <alignment/>
    </xf>
    <xf numFmtId="164" fontId="5" fillId="0" borderId="1" xfId="0" applyFont="1" applyFill="1" applyBorder="1" applyAlignment="1">
      <alignment horizontal="left" vertical="center" wrapText="1"/>
    </xf>
    <xf numFmtId="172" fontId="11" fillId="0" borderId="16" xfId="15" applyNumberFormat="1" applyFont="1" applyFill="1" applyBorder="1" applyAlignment="1" applyProtection="1">
      <alignment horizontal="center" vertical="center" wrapText="1"/>
      <protection/>
    </xf>
    <xf numFmtId="164" fontId="7" fillId="0" borderId="1" xfId="0" applyFont="1" applyFill="1" applyBorder="1" applyAlignment="1">
      <alignment vertical="center" wrapText="1"/>
    </xf>
    <xf numFmtId="164" fontId="11" fillId="0" borderId="1" xfId="0" applyFont="1" applyFill="1" applyBorder="1" applyAlignment="1">
      <alignment horizontal="center" vertical="top" wrapText="1"/>
    </xf>
    <xf numFmtId="164" fontId="5" fillId="0" borderId="22" xfId="0" applyFont="1" applyFill="1" applyBorder="1" applyAlignment="1">
      <alignment horizontal="left" vertical="center" wrapText="1"/>
    </xf>
    <xf numFmtId="170" fontId="7" fillId="0" borderId="22" xfId="15" applyNumberFormat="1" applyFont="1" applyFill="1" applyBorder="1" applyAlignment="1" applyProtection="1">
      <alignment horizontal="center" vertical="center" wrapText="1"/>
      <protection/>
    </xf>
    <xf numFmtId="170" fontId="4" fillId="0" borderId="22" xfId="15" applyNumberFormat="1" applyFont="1" applyFill="1" applyBorder="1" applyAlignment="1" applyProtection="1">
      <alignment horizontal="center" vertical="center" wrapText="1"/>
      <protection/>
    </xf>
    <xf numFmtId="167" fontId="4" fillId="0" borderId="22" xfId="15" applyNumberFormat="1" applyFont="1" applyFill="1" applyBorder="1" applyAlignment="1" applyProtection="1">
      <alignment horizontal="center" vertical="center"/>
      <protection/>
    </xf>
    <xf numFmtId="164" fontId="5" fillId="0" borderId="37" xfId="0" applyFont="1" applyFill="1" applyBorder="1" applyAlignment="1">
      <alignment horizontal="left" vertical="center" wrapText="1"/>
    </xf>
    <xf numFmtId="164" fontId="7" fillId="0" borderId="39" xfId="0" applyFont="1" applyFill="1" applyBorder="1" applyAlignment="1">
      <alignment horizontal="center" vertical="center" wrapText="1"/>
    </xf>
    <xf numFmtId="170" fontId="7" fillId="0" borderId="39" xfId="15" applyNumberFormat="1" applyFont="1" applyFill="1" applyBorder="1" applyAlignment="1" applyProtection="1">
      <alignment horizontal="center" vertical="center" wrapText="1"/>
      <protection/>
    </xf>
    <xf numFmtId="170" fontId="7" fillId="0" borderId="40" xfId="15" applyNumberFormat="1" applyFont="1" applyFill="1" applyBorder="1" applyAlignment="1" applyProtection="1">
      <alignment horizontal="center" vertical="center" wrapText="1"/>
      <protection/>
    </xf>
    <xf numFmtId="172" fontId="11" fillId="0" borderId="31" xfId="15" applyNumberFormat="1" applyFont="1" applyFill="1" applyBorder="1" applyAlignment="1" applyProtection="1">
      <alignment horizontal="center" vertical="center" wrapText="1"/>
      <protection/>
    </xf>
    <xf numFmtId="170" fontId="4" fillId="0" borderId="19" xfId="15" applyNumberFormat="1" applyFont="1" applyFill="1" applyBorder="1" applyAlignment="1" applyProtection="1">
      <alignment horizontal="center" vertical="center" wrapText="1"/>
      <protection/>
    </xf>
    <xf numFmtId="170" fontId="7" fillId="0" borderId="19" xfId="15" applyNumberFormat="1" applyFont="1" applyFill="1" applyBorder="1" applyAlignment="1" applyProtection="1">
      <alignment horizontal="center" vertical="center" wrapText="1"/>
      <protection/>
    </xf>
    <xf numFmtId="172" fontId="5" fillId="0" borderId="16" xfId="15" applyNumberFormat="1" applyFont="1" applyFill="1" applyBorder="1" applyAlignment="1" applyProtection="1">
      <alignment vertical="center" wrapText="1"/>
      <protection/>
    </xf>
    <xf numFmtId="164" fontId="5" fillId="0" borderId="16" xfId="0" applyFont="1" applyFill="1" applyBorder="1" applyAlignment="1">
      <alignment horizontal="left" vertical="center" wrapText="1"/>
    </xf>
    <xf numFmtId="172" fontId="5" fillId="0" borderId="31" xfId="15" applyNumberFormat="1" applyFont="1" applyFill="1" applyBorder="1" applyAlignment="1" applyProtection="1">
      <alignment vertical="center" wrapText="1"/>
      <protection/>
    </xf>
    <xf numFmtId="164" fontId="7" fillId="0" borderId="23" xfId="0" applyFont="1" applyFill="1" applyBorder="1" applyAlignment="1">
      <alignment horizontal="center" vertical="center" wrapText="1"/>
    </xf>
    <xf numFmtId="170" fontId="4" fillId="0" borderId="23" xfId="15" applyNumberFormat="1" applyFont="1" applyFill="1" applyBorder="1" applyAlignment="1" applyProtection="1">
      <alignment horizontal="center" vertical="center" wrapText="1"/>
      <protection/>
    </xf>
    <xf numFmtId="170" fontId="7" fillId="0" borderId="23" xfId="15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Font="1" applyFill="1" applyBorder="1" applyAlignment="1">
      <alignment horizontal="center" vertical="top" wrapText="1"/>
    </xf>
    <xf numFmtId="172" fontId="11" fillId="0" borderId="16" xfId="15" applyNumberFormat="1" applyFont="1" applyFill="1" applyBorder="1" applyAlignment="1" applyProtection="1">
      <alignment vertical="center" wrapText="1"/>
      <protection/>
    </xf>
    <xf numFmtId="164" fontId="11" fillId="0" borderId="1" xfId="0" applyFont="1" applyFill="1" applyBorder="1" applyAlignment="1">
      <alignment vertical="top" wrapText="1"/>
    </xf>
    <xf numFmtId="172" fontId="11" fillId="0" borderId="1" xfId="15" applyNumberFormat="1" applyFont="1" applyFill="1" applyBorder="1" applyAlignment="1" applyProtection="1">
      <alignment horizontal="center" vertical="center" wrapText="1"/>
      <protection/>
    </xf>
    <xf numFmtId="167" fontId="4" fillId="0" borderId="1" xfId="15" applyNumberFormat="1" applyFont="1" applyFill="1" applyBorder="1" applyAlignment="1" applyProtection="1">
      <alignment horizontal="center"/>
      <protection/>
    </xf>
    <xf numFmtId="164" fontId="11" fillId="0" borderId="1" xfId="0" applyFont="1" applyFill="1" applyBorder="1" applyAlignment="1">
      <alignment wrapText="1"/>
    </xf>
    <xf numFmtId="172" fontId="11" fillId="0" borderId="22" xfId="15" applyNumberFormat="1" applyFont="1" applyFill="1" applyBorder="1" applyAlignment="1" applyProtection="1">
      <alignment horizontal="center" vertical="center" wrapText="1"/>
      <protection/>
    </xf>
    <xf numFmtId="172" fontId="11" fillId="0" borderId="19" xfId="15" applyNumberFormat="1" applyFont="1" applyFill="1" applyBorder="1" applyAlignment="1" applyProtection="1">
      <alignment horizontal="center" vertical="center" wrapText="1"/>
      <protection/>
    </xf>
    <xf numFmtId="172" fontId="11" fillId="0" borderId="24" xfId="15" applyNumberFormat="1" applyFont="1" applyFill="1" applyBorder="1" applyAlignment="1" applyProtection="1">
      <alignment horizontal="center" vertical="center" wrapText="1"/>
      <protection/>
    </xf>
    <xf numFmtId="170" fontId="3" fillId="0" borderId="0" xfId="0" applyNumberFormat="1" applyFont="1" applyFill="1" applyAlignment="1">
      <alignment/>
    </xf>
    <xf numFmtId="164" fontId="11" fillId="0" borderId="1" xfId="0" applyFont="1" applyFill="1" applyBorder="1" applyAlignment="1">
      <alignment horizontal="justify" vertical="top" wrapText="1"/>
    </xf>
    <xf numFmtId="164" fontId="7" fillId="0" borderId="21" xfId="0" applyFont="1" applyFill="1" applyBorder="1" applyAlignment="1">
      <alignment horizontal="center" vertical="center" wrapText="1"/>
    </xf>
    <xf numFmtId="164" fontId="11" fillId="0" borderId="21" xfId="0" applyFont="1" applyFill="1" applyBorder="1" applyAlignment="1">
      <alignment/>
    </xf>
    <xf numFmtId="164" fontId="14" fillId="0" borderId="1" xfId="0" applyFont="1" applyFill="1" applyBorder="1" applyAlignment="1">
      <alignment vertical="center" wrapText="1"/>
    </xf>
    <xf numFmtId="164" fontId="5" fillId="0" borderId="24" xfId="0" applyFont="1" applyFill="1" applyBorder="1" applyAlignment="1">
      <alignment horizontal="center" vertical="center" wrapText="1"/>
    </xf>
    <xf numFmtId="164" fontId="5" fillId="0" borderId="20" xfId="0" applyFont="1" applyFill="1" applyBorder="1" applyAlignment="1">
      <alignment horizontal="center" vertical="center" wrapText="1"/>
    </xf>
    <xf numFmtId="164" fontId="14" fillId="0" borderId="1" xfId="0" applyFont="1" applyFill="1" applyBorder="1" applyAlignment="1">
      <alignment horizontal="justify" vertical="center" wrapText="1"/>
    </xf>
    <xf numFmtId="164" fontId="11" fillId="0" borderId="19" xfId="0" applyFont="1" applyFill="1" applyBorder="1" applyAlignment="1">
      <alignment vertical="top" wrapText="1"/>
    </xf>
    <xf numFmtId="164" fontId="5" fillId="0" borderId="19" xfId="0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wrapText="1"/>
    </xf>
    <xf numFmtId="164" fontId="5" fillId="0" borderId="42" xfId="0" applyFont="1" applyFill="1" applyBorder="1" applyAlignment="1">
      <alignment horizontal="left" vertical="center" wrapText="1"/>
    </xf>
    <xf numFmtId="172" fontId="11" fillId="0" borderId="45" xfId="15" applyNumberFormat="1" applyFont="1" applyFill="1" applyBorder="1" applyAlignment="1" applyProtection="1">
      <alignment vertical="center" wrapText="1"/>
      <protection/>
    </xf>
    <xf numFmtId="164" fontId="5" fillId="0" borderId="22" xfId="0" applyFont="1" applyFill="1" applyBorder="1" applyAlignment="1">
      <alignment vertical="top" wrapText="1"/>
    </xf>
    <xf numFmtId="164" fontId="11" fillId="0" borderId="6" xfId="0" applyFont="1" applyFill="1" applyBorder="1" applyAlignment="1">
      <alignment horizontal="center" vertical="center" wrapText="1"/>
    </xf>
    <xf numFmtId="164" fontId="5" fillId="0" borderId="16" xfId="0" applyFont="1" applyFill="1" applyBorder="1" applyAlignment="1">
      <alignment vertical="top" wrapText="1"/>
    </xf>
    <xf numFmtId="172" fontId="11" fillId="0" borderId="29" xfId="15" applyNumberFormat="1" applyFont="1" applyFill="1" applyBorder="1" applyAlignment="1" applyProtection="1">
      <alignment horizontal="center" vertical="center" wrapText="1"/>
      <protection/>
    </xf>
    <xf numFmtId="172" fontId="11" fillId="0" borderId="1" xfId="15" applyNumberFormat="1" applyFont="1" applyFill="1" applyBorder="1" applyAlignment="1" applyProtection="1">
      <alignment vertical="center" wrapText="1"/>
      <protection/>
    </xf>
    <xf numFmtId="164" fontId="5" fillId="0" borderId="16" xfId="0" applyFont="1" applyFill="1" applyBorder="1" applyAlignment="1">
      <alignment horizontal="left" vertical="top" wrapText="1"/>
    </xf>
    <xf numFmtId="164" fontId="0" fillId="0" borderId="22" xfId="0" applyFont="1" applyFill="1" applyBorder="1" applyAlignment="1">
      <alignment horizontal="center" vertical="center" wrapText="1"/>
    </xf>
    <xf numFmtId="164" fontId="5" fillId="0" borderId="29" xfId="0" applyFont="1" applyFill="1" applyBorder="1" applyAlignment="1">
      <alignment horizontal="left" vertical="top" wrapText="1"/>
    </xf>
    <xf numFmtId="164" fontId="11" fillId="0" borderId="59" xfId="0" applyFont="1" applyFill="1" applyBorder="1" applyAlignment="1">
      <alignment horizontal="center" vertical="center" wrapText="1"/>
    </xf>
    <xf numFmtId="164" fontId="5" fillId="0" borderId="60" xfId="0" applyFont="1" applyFill="1" applyBorder="1" applyAlignment="1">
      <alignment horizontal="center" vertical="top" wrapText="1"/>
    </xf>
    <xf numFmtId="164" fontId="5" fillId="0" borderId="61" xfId="0" applyFont="1" applyFill="1" applyBorder="1" applyAlignment="1">
      <alignment horizontal="left" vertical="center" wrapText="1"/>
    </xf>
    <xf numFmtId="164" fontId="7" fillId="0" borderId="32" xfId="0" applyFont="1" applyFill="1" applyBorder="1" applyAlignment="1">
      <alignment horizontal="center" vertical="center" wrapText="1"/>
    </xf>
    <xf numFmtId="167" fontId="7" fillId="0" borderId="34" xfId="15" applyNumberFormat="1" applyFont="1" applyFill="1" applyBorder="1" applyAlignment="1" applyProtection="1">
      <alignment horizontal="center" vertical="center" wrapText="1"/>
      <protection/>
    </xf>
    <xf numFmtId="172" fontId="11" fillId="0" borderId="62" xfId="15" applyNumberFormat="1" applyFont="1" applyFill="1" applyBorder="1" applyAlignment="1" applyProtection="1">
      <alignment vertical="center" wrapText="1"/>
      <protection/>
    </xf>
    <xf numFmtId="164" fontId="5" fillId="0" borderId="8" xfId="0" applyFont="1" applyFill="1" applyBorder="1" applyAlignment="1">
      <alignment horizontal="left" vertical="top" wrapText="1"/>
    </xf>
    <xf numFmtId="164" fontId="11" fillId="0" borderId="63" xfId="0" applyFont="1" applyFill="1" applyBorder="1" applyAlignment="1">
      <alignment horizontal="center" vertical="center" wrapText="1"/>
    </xf>
    <xf numFmtId="170" fontId="4" fillId="0" borderId="0" xfId="15" applyNumberFormat="1" applyFont="1" applyFill="1" applyBorder="1" applyAlignment="1" applyProtection="1">
      <alignment horizontal="center" vertical="center" wrapText="1"/>
      <protection/>
    </xf>
    <xf numFmtId="164" fontId="5" fillId="0" borderId="28" xfId="0" applyFont="1" applyFill="1" applyBorder="1" applyAlignment="1">
      <alignment horizontal="left" vertical="top" wrapText="1"/>
    </xf>
    <xf numFmtId="164" fontId="5" fillId="0" borderId="64" xfId="0" applyFont="1" applyFill="1" applyBorder="1" applyAlignment="1">
      <alignment horizontal="left" vertical="top" wrapText="1"/>
    </xf>
    <xf numFmtId="164" fontId="11" fillId="0" borderId="65" xfId="0" applyFont="1" applyFill="1" applyBorder="1" applyAlignment="1">
      <alignment horizontal="center" vertical="center" wrapText="1"/>
    </xf>
    <xf numFmtId="164" fontId="15" fillId="0" borderId="19" xfId="0" applyFont="1" applyFill="1" applyBorder="1" applyAlignment="1">
      <alignment horizontal="center" vertical="center" wrapText="1"/>
    </xf>
    <xf numFmtId="164" fontId="11" fillId="0" borderId="66" xfId="0" applyFont="1" applyFill="1" applyBorder="1" applyAlignment="1">
      <alignment horizontal="center" vertical="center" wrapText="1"/>
    </xf>
    <xf numFmtId="170" fontId="4" fillId="0" borderId="5" xfId="15" applyNumberFormat="1" applyFont="1" applyFill="1" applyBorder="1" applyAlignment="1" applyProtection="1">
      <alignment horizontal="center" vertical="center" wrapText="1"/>
      <protection/>
    </xf>
    <xf numFmtId="164" fontId="11" fillId="0" borderId="35" xfId="0" applyFont="1" applyFill="1" applyBorder="1" applyAlignment="1">
      <alignment horizontal="center" vertical="center" wrapText="1"/>
    </xf>
    <xf numFmtId="164" fontId="7" fillId="0" borderId="50" xfId="0" applyFont="1" applyFill="1" applyBorder="1" applyAlignment="1">
      <alignment horizontal="center" vertical="center" wrapText="1"/>
    </xf>
    <xf numFmtId="170" fontId="4" fillId="0" borderId="35" xfId="15" applyNumberFormat="1" applyFont="1" applyFill="1" applyBorder="1" applyAlignment="1" applyProtection="1">
      <alignment horizontal="center" vertical="center" wrapText="1"/>
      <protection/>
    </xf>
    <xf numFmtId="164" fontId="5" fillId="0" borderId="22" xfId="0" applyFont="1" applyFill="1" applyBorder="1" applyAlignment="1">
      <alignment horizontal="left" vertical="top" wrapText="1"/>
    </xf>
    <xf numFmtId="164" fontId="11" fillId="0" borderId="19" xfId="0" applyFont="1" applyFill="1" applyBorder="1" applyAlignment="1">
      <alignment horizontal="center" vertical="center" wrapText="1"/>
    </xf>
    <xf numFmtId="164" fontId="5" fillId="0" borderId="42" xfId="0" applyFont="1" applyFill="1" applyBorder="1" applyAlignment="1">
      <alignment horizontal="center" vertical="top" wrapText="1"/>
    </xf>
    <xf numFmtId="164" fontId="5" fillId="0" borderId="67" xfId="0" applyFont="1" applyFill="1" applyBorder="1" applyAlignment="1">
      <alignment horizontal="left" vertical="center" wrapText="1"/>
    </xf>
    <xf numFmtId="164" fontId="5" fillId="0" borderId="19" xfId="0" applyFont="1" applyFill="1" applyBorder="1" applyAlignment="1">
      <alignment horizontal="left" vertical="top" wrapText="1"/>
    </xf>
    <xf numFmtId="172" fontId="11" fillId="0" borderId="5" xfId="15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Font="1" applyFill="1" applyBorder="1" applyAlignment="1">
      <alignment horizontal="left" vertical="center" wrapText="1"/>
    </xf>
    <xf numFmtId="164" fontId="5" fillId="0" borderId="19" xfId="0" applyFont="1" applyFill="1" applyBorder="1" applyAlignment="1">
      <alignment horizontal="left" vertical="center" wrapText="1"/>
    </xf>
    <xf numFmtId="172" fontId="11" fillId="0" borderId="20" xfId="15" applyNumberFormat="1" applyFont="1" applyFill="1" applyBorder="1" applyAlignment="1" applyProtection="1">
      <alignment horizontal="center" vertical="center" wrapText="1"/>
      <protection/>
    </xf>
    <xf numFmtId="170" fontId="4" fillId="0" borderId="1" xfId="15" applyNumberFormat="1" applyFont="1" applyFill="1" applyBorder="1" applyAlignment="1" applyProtection="1">
      <alignment horizontal="center" vertical="top" wrapText="1"/>
      <protection/>
    </xf>
    <xf numFmtId="170" fontId="7" fillId="0" borderId="1" xfId="15" applyNumberFormat="1" applyFont="1" applyFill="1" applyBorder="1" applyAlignment="1" applyProtection="1">
      <alignment horizontal="center" vertical="top" wrapText="1"/>
      <protection/>
    </xf>
    <xf numFmtId="164" fontId="7" fillId="0" borderId="22" xfId="0" applyFont="1" applyFill="1" applyBorder="1" applyAlignment="1">
      <alignment horizontal="center" vertical="top" wrapText="1"/>
    </xf>
    <xf numFmtId="170" fontId="4" fillId="0" borderId="22" xfId="15" applyNumberFormat="1" applyFont="1" applyFill="1" applyBorder="1" applyAlignment="1" applyProtection="1">
      <alignment horizontal="center" vertical="top" wrapText="1"/>
      <protection/>
    </xf>
    <xf numFmtId="170" fontId="7" fillId="0" borderId="22" xfId="15" applyNumberFormat="1" applyFont="1" applyFill="1" applyBorder="1" applyAlignment="1" applyProtection="1">
      <alignment horizontal="center" vertical="top" wrapText="1"/>
      <protection/>
    </xf>
    <xf numFmtId="164" fontId="5" fillId="0" borderId="16" xfId="0" applyFont="1" applyFill="1" applyBorder="1" applyAlignment="1">
      <alignment vertical="center" wrapText="1"/>
    </xf>
    <xf numFmtId="170" fontId="7" fillId="0" borderId="39" xfId="15" applyNumberFormat="1" applyFont="1" applyFill="1" applyBorder="1" applyAlignment="1" applyProtection="1">
      <alignment horizontal="center" vertical="top" wrapText="1"/>
      <protection/>
    </xf>
    <xf numFmtId="170" fontId="7" fillId="0" borderId="40" xfId="15" applyNumberFormat="1" applyFont="1" applyFill="1" applyBorder="1" applyAlignment="1" applyProtection="1">
      <alignment horizontal="center" vertical="top" wrapText="1"/>
      <protection/>
    </xf>
    <xf numFmtId="172" fontId="8" fillId="0" borderId="31" xfId="15" applyNumberFormat="1" applyFont="1" applyFill="1" applyBorder="1" applyAlignment="1" applyProtection="1">
      <alignment horizontal="center" vertical="center" wrapText="1"/>
      <protection/>
    </xf>
    <xf numFmtId="164" fontId="5" fillId="0" borderId="29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4" fillId="0" borderId="19" xfId="0" applyFont="1" applyFill="1" applyBorder="1" applyAlignment="1">
      <alignment horizontal="center" vertical="top" wrapText="1"/>
    </xf>
    <xf numFmtId="170" fontId="4" fillId="0" borderId="19" xfId="15" applyNumberFormat="1" applyFont="1" applyFill="1" applyBorder="1" applyAlignment="1" applyProtection="1">
      <alignment horizontal="center" wrapText="1"/>
      <protection/>
    </xf>
    <xf numFmtId="170" fontId="4" fillId="0" borderId="19" xfId="15" applyNumberFormat="1" applyFont="1" applyFill="1" applyBorder="1" applyAlignment="1" applyProtection="1">
      <alignment horizontal="center" vertical="top" wrapText="1"/>
      <protection/>
    </xf>
    <xf numFmtId="170" fontId="7" fillId="0" borderId="19" xfId="15" applyNumberFormat="1" applyFont="1" applyFill="1" applyBorder="1" applyAlignment="1" applyProtection="1">
      <alignment horizontal="center" vertical="top" wrapText="1"/>
      <protection/>
    </xf>
    <xf numFmtId="172" fontId="8" fillId="0" borderId="16" xfId="15" applyNumberFormat="1" applyFont="1" applyFill="1" applyBorder="1" applyAlignment="1" applyProtection="1">
      <alignment horizontal="center" vertical="center" wrapText="1"/>
      <protection/>
    </xf>
    <xf numFmtId="170" fontId="4" fillId="0" borderId="1" xfId="15" applyNumberFormat="1" applyFont="1" applyFill="1" applyBorder="1" applyAlignment="1" applyProtection="1">
      <alignment horizontal="center" wrapText="1"/>
      <protection/>
    </xf>
    <xf numFmtId="164" fontId="4" fillId="0" borderId="22" xfId="0" applyFont="1" applyFill="1" applyBorder="1" applyAlignment="1">
      <alignment vertical="center" wrapText="1"/>
    </xf>
    <xf numFmtId="170" fontId="4" fillId="0" borderId="22" xfId="15" applyNumberFormat="1" applyFont="1" applyFill="1" applyBorder="1" applyAlignment="1" applyProtection="1">
      <alignment horizontal="center" wrapText="1"/>
      <protection/>
    </xf>
    <xf numFmtId="172" fontId="5" fillId="0" borderId="45" xfId="15" applyNumberFormat="1" applyFont="1" applyFill="1" applyBorder="1" applyAlignment="1" applyProtection="1">
      <alignment horizontal="center" vertical="center" wrapText="1"/>
      <protection/>
    </xf>
    <xf numFmtId="164" fontId="4" fillId="0" borderId="22" xfId="0" applyFont="1" applyFill="1" applyBorder="1" applyAlignment="1">
      <alignment horizontal="center" vertical="top" wrapText="1"/>
    </xf>
    <xf numFmtId="172" fontId="8" fillId="0" borderId="45" xfId="15" applyNumberFormat="1" applyFont="1" applyFill="1" applyBorder="1" applyAlignment="1" applyProtection="1">
      <alignment horizontal="center" vertical="center" wrapText="1"/>
      <protection/>
    </xf>
    <xf numFmtId="164" fontId="7" fillId="0" borderId="19" xfId="0" applyFont="1" applyFill="1" applyBorder="1" applyAlignment="1">
      <alignment horizontal="center" vertical="top" wrapText="1"/>
    </xf>
    <xf numFmtId="172" fontId="5" fillId="0" borderId="16" xfId="15" applyNumberFormat="1" applyFont="1" applyFill="1" applyBorder="1" applyAlignment="1" applyProtection="1">
      <alignment horizontal="center" vertical="center" wrapText="1"/>
      <protection/>
    </xf>
    <xf numFmtId="164" fontId="5" fillId="0" borderId="51" xfId="0" applyFont="1" applyFill="1" applyBorder="1" applyAlignment="1">
      <alignment horizontal="left" vertical="center" wrapText="1"/>
    </xf>
    <xf numFmtId="172" fontId="5" fillId="0" borderId="38" xfId="15" applyNumberFormat="1" applyFont="1" applyFill="1" applyBorder="1" applyAlignment="1" applyProtection="1">
      <alignment horizontal="center" vertical="center" wrapText="1"/>
      <protection/>
    </xf>
    <xf numFmtId="164" fontId="5" fillId="0" borderId="68" xfId="0" applyFont="1" applyFill="1" applyBorder="1" applyAlignment="1">
      <alignment horizontal="center" vertical="center" wrapText="1"/>
    </xf>
    <xf numFmtId="170" fontId="4" fillId="0" borderId="39" xfId="15" applyNumberFormat="1" applyFont="1" applyFill="1" applyBorder="1" applyAlignment="1" applyProtection="1">
      <alignment horizontal="center" vertical="center" wrapText="1"/>
      <protection/>
    </xf>
    <xf numFmtId="164" fontId="5" fillId="0" borderId="45" xfId="0" applyFont="1" applyFill="1" applyBorder="1" applyAlignment="1">
      <alignment horizontal="center" vertical="center" wrapText="1"/>
    </xf>
    <xf numFmtId="170" fontId="4" fillId="0" borderId="38" xfId="15" applyNumberFormat="1" applyFont="1" applyFill="1" applyBorder="1" applyAlignment="1" applyProtection="1">
      <alignment horizontal="center" vertical="center" wrapText="1"/>
      <protection/>
    </xf>
    <xf numFmtId="167" fontId="4" fillId="0" borderId="42" xfId="15" applyNumberFormat="1" applyFont="1" applyFill="1" applyBorder="1" applyAlignment="1" applyProtection="1">
      <alignment horizontal="center" vertical="center" wrapText="1"/>
      <protection/>
    </xf>
    <xf numFmtId="170" fontId="4" fillId="0" borderId="53" xfId="15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Font="1" applyFill="1" applyBorder="1" applyAlignment="1">
      <alignment horizontal="justify" vertical="center" wrapText="1"/>
    </xf>
    <xf numFmtId="164" fontId="5" fillId="0" borderId="42" xfId="0" applyFont="1" applyFill="1" applyBorder="1" applyAlignment="1">
      <alignment horizontal="center" vertical="center" wrapText="1"/>
    </xf>
    <xf numFmtId="170" fontId="4" fillId="0" borderId="42" xfId="15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Font="1" applyFill="1" applyBorder="1" applyAlignment="1">
      <alignment vertical="center" wrapText="1"/>
    </xf>
    <xf numFmtId="164" fontId="5" fillId="0" borderId="69" xfId="0" applyFont="1" applyFill="1" applyBorder="1" applyAlignment="1">
      <alignment horizontal="center" vertical="center" wrapText="1"/>
    </xf>
    <xf numFmtId="164" fontId="5" fillId="0" borderId="55" xfId="0" applyFont="1" applyFill="1" applyBorder="1" applyAlignment="1">
      <alignment horizontal="center" vertical="center" wrapText="1"/>
    </xf>
    <xf numFmtId="164" fontId="5" fillId="0" borderId="69" xfId="0" applyFont="1" applyFill="1" applyBorder="1" applyAlignment="1">
      <alignment horizontal="left" vertical="center" wrapText="1"/>
    </xf>
    <xf numFmtId="170" fontId="7" fillId="0" borderId="34" xfId="15" applyNumberFormat="1" applyFont="1" applyFill="1" applyBorder="1" applyAlignment="1" applyProtection="1">
      <alignment horizontal="center" vertical="top" wrapText="1"/>
      <protection/>
    </xf>
    <xf numFmtId="170" fontId="7" fillId="0" borderId="44" xfId="15" applyNumberFormat="1" applyFont="1" applyFill="1" applyBorder="1" applyAlignment="1" applyProtection="1">
      <alignment horizontal="center" vertical="top" wrapText="1"/>
      <protection/>
    </xf>
    <xf numFmtId="172" fontId="8" fillId="0" borderId="26" xfId="15" applyNumberFormat="1" applyFont="1" applyFill="1" applyBorder="1" applyAlignment="1" applyProtection="1">
      <alignment horizontal="center" vertical="center" wrapText="1"/>
      <protection/>
    </xf>
    <xf numFmtId="164" fontId="11" fillId="0" borderId="22" xfId="0" applyFont="1" applyFill="1" applyBorder="1" applyAlignment="1">
      <alignment vertical="top" wrapText="1"/>
    </xf>
    <xf numFmtId="164" fontId="11" fillId="0" borderId="1" xfId="0" applyFont="1" applyFill="1" applyBorder="1" applyAlignment="1">
      <alignment horizontal="left" vertical="top" wrapText="1"/>
    </xf>
    <xf numFmtId="164" fontId="7" fillId="0" borderId="8" xfId="0" applyFont="1" applyFill="1" applyBorder="1" applyAlignment="1">
      <alignment horizontal="center" vertical="top"/>
    </xf>
    <xf numFmtId="164" fontId="8" fillId="0" borderId="18" xfId="0" applyFont="1" applyFill="1" applyBorder="1" applyAlignment="1">
      <alignment horizontal="center" vertical="center" wrapText="1"/>
    </xf>
    <xf numFmtId="164" fontId="8" fillId="0" borderId="1" xfId="0" applyFont="1" applyFill="1" applyBorder="1" applyAlignment="1">
      <alignment horizontal="left" vertical="center" wrapText="1"/>
    </xf>
    <xf numFmtId="164" fontId="8" fillId="0" borderId="7" xfId="0" applyFont="1" applyFill="1" applyBorder="1" applyAlignment="1">
      <alignment horizontal="left" vertical="center" wrapText="1"/>
    </xf>
    <xf numFmtId="164" fontId="4" fillId="0" borderId="1" xfId="0" applyFont="1" applyFill="1" applyBorder="1" applyAlignment="1">
      <alignment vertical="center"/>
    </xf>
    <xf numFmtId="166" fontId="4" fillId="0" borderId="1" xfId="15" applyFont="1" applyFill="1" applyBorder="1" applyAlignment="1" applyProtection="1">
      <alignment vertical="center"/>
      <protection/>
    </xf>
    <xf numFmtId="164" fontId="5" fillId="0" borderId="7" xfId="0" applyFont="1" applyFill="1" applyBorder="1" applyAlignment="1">
      <alignment horizontal="left" vertical="center" wrapText="1"/>
    </xf>
    <xf numFmtId="164" fontId="4" fillId="0" borderId="28" xfId="0" applyNumberFormat="1" applyFont="1" applyFill="1" applyBorder="1" applyAlignment="1">
      <alignment horizontal="center" vertical="top"/>
    </xf>
    <xf numFmtId="164" fontId="5" fillId="0" borderId="21" xfId="0" applyFont="1" applyFill="1" applyBorder="1" applyAlignment="1">
      <alignment horizontal="center" vertical="center" wrapText="1"/>
    </xf>
    <xf numFmtId="164" fontId="4" fillId="0" borderId="22" xfId="0" applyFont="1" applyFill="1" applyBorder="1" applyAlignment="1">
      <alignment vertical="center"/>
    </xf>
    <xf numFmtId="166" fontId="4" fillId="0" borderId="22" xfId="15" applyFont="1" applyFill="1" applyBorder="1" applyAlignment="1" applyProtection="1">
      <alignment vertical="center"/>
      <protection/>
    </xf>
    <xf numFmtId="164" fontId="5" fillId="0" borderId="29" xfId="0" applyFont="1" applyFill="1" applyBorder="1" applyAlignment="1">
      <alignment vertical="center" wrapText="1"/>
    </xf>
    <xf numFmtId="172" fontId="7" fillId="0" borderId="22" xfId="0" applyNumberFormat="1" applyFont="1" applyFill="1" applyBorder="1" applyAlignment="1">
      <alignment horizontal="center" vertical="center"/>
    </xf>
    <xf numFmtId="164" fontId="4" fillId="0" borderId="70" xfId="0" applyNumberFormat="1" applyFont="1" applyFill="1" applyBorder="1" applyAlignment="1">
      <alignment horizontal="center" vertical="top"/>
    </xf>
    <xf numFmtId="164" fontId="8" fillId="0" borderId="2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/>
    </xf>
    <xf numFmtId="164" fontId="8" fillId="0" borderId="17" xfId="0" applyFont="1" applyFill="1" applyBorder="1" applyAlignment="1">
      <alignment horizontal="center" vertical="center" wrapText="1"/>
    </xf>
    <xf numFmtId="172" fontId="7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vertical="top"/>
    </xf>
    <xf numFmtId="164" fontId="5" fillId="0" borderId="18" xfId="0" applyFont="1" applyFill="1" applyBorder="1" applyAlignment="1">
      <alignment horizontal="center" vertical="center" wrapText="1"/>
    </xf>
    <xf numFmtId="164" fontId="4" fillId="0" borderId="18" xfId="0" applyFont="1" applyFill="1" applyBorder="1" applyAlignment="1">
      <alignment horizontal="center" vertical="center" wrapText="1"/>
    </xf>
    <xf numFmtId="167" fontId="4" fillId="0" borderId="19" xfId="15" applyNumberFormat="1" applyFont="1" applyFill="1" applyBorder="1" applyAlignment="1" applyProtection="1">
      <alignment horizontal="right" vertical="center" wrapText="1"/>
      <protection/>
    </xf>
    <xf numFmtId="164" fontId="5" fillId="0" borderId="17" xfId="0" applyFont="1" applyFill="1" applyBorder="1" applyAlignment="1">
      <alignment horizontal="center" vertical="center" wrapText="1"/>
    </xf>
    <xf numFmtId="167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4" fillId="0" borderId="21" xfId="0" applyFont="1" applyFill="1" applyBorder="1" applyAlignment="1">
      <alignment horizontal="center" vertical="center" wrapText="1"/>
    </xf>
    <xf numFmtId="167" fontId="4" fillId="0" borderId="22" xfId="15" applyNumberFormat="1" applyFont="1" applyFill="1" applyBorder="1" applyAlignment="1" applyProtection="1">
      <alignment horizontal="right" vertical="center" wrapText="1"/>
      <protection/>
    </xf>
    <xf numFmtId="164" fontId="11" fillId="0" borderId="31" xfId="0" applyFont="1" applyFill="1" applyBorder="1" applyAlignment="1">
      <alignment horizontal="center" vertical="center" wrapText="1"/>
    </xf>
    <xf numFmtId="168" fontId="4" fillId="0" borderId="1" xfId="0" applyNumberFormat="1" applyFont="1" applyFill="1" applyBorder="1" applyAlignment="1">
      <alignment horizontal="center" vertical="top"/>
    </xf>
    <xf numFmtId="164" fontId="4" fillId="0" borderId="19" xfId="0" applyFont="1" applyFill="1" applyBorder="1" applyAlignment="1">
      <alignment horizontal="center" vertical="center" wrapText="1"/>
    </xf>
    <xf numFmtId="164" fontId="4" fillId="0" borderId="19" xfId="0" applyFont="1" applyFill="1" applyBorder="1" applyAlignment="1">
      <alignment vertical="center"/>
    </xf>
    <xf numFmtId="166" fontId="4" fillId="0" borderId="19" xfId="15" applyFont="1" applyFill="1" applyBorder="1" applyAlignment="1" applyProtection="1">
      <alignment vertical="center"/>
      <protection/>
    </xf>
    <xf numFmtId="167" fontId="4" fillId="0" borderId="19" xfId="15" applyNumberFormat="1" applyFont="1" applyFill="1" applyBorder="1" applyAlignment="1" applyProtection="1">
      <alignment horizontal="center" vertical="center"/>
      <protection/>
    </xf>
    <xf numFmtId="164" fontId="11" fillId="0" borderId="71" xfId="0" applyFont="1" applyFill="1" applyBorder="1" applyAlignment="1">
      <alignment horizontal="center" vertical="center" wrapText="1"/>
    </xf>
    <xf numFmtId="164" fontId="11" fillId="0" borderId="72" xfId="0" applyFont="1" applyFill="1" applyBorder="1" applyAlignment="1">
      <alignment horizontal="center" vertical="center" wrapText="1"/>
    </xf>
    <xf numFmtId="164" fontId="11" fillId="0" borderId="17" xfId="0" applyFont="1" applyFill="1" applyBorder="1" applyAlignment="1">
      <alignment horizontal="center" vertical="center" wrapText="1"/>
    </xf>
    <xf numFmtId="167" fontId="7" fillId="0" borderId="1" xfId="15" applyNumberFormat="1" applyFont="1" applyFill="1" applyBorder="1" applyAlignment="1" applyProtection="1">
      <alignment horizontal="center" vertical="center"/>
      <protection/>
    </xf>
    <xf numFmtId="168" fontId="4" fillId="0" borderId="48" xfId="0" applyNumberFormat="1" applyFont="1" applyFill="1" applyBorder="1" applyAlignment="1">
      <alignment horizontal="center" vertical="top"/>
    </xf>
    <xf numFmtId="164" fontId="5" fillId="0" borderId="60" xfId="0" applyFont="1" applyFill="1" applyBorder="1" applyAlignment="1">
      <alignment horizontal="left" vertical="top" wrapText="1"/>
    </xf>
    <xf numFmtId="164" fontId="4" fillId="0" borderId="54" xfId="0" applyFont="1" applyFill="1" applyBorder="1" applyAlignment="1">
      <alignment horizontal="center" vertical="center" wrapText="1"/>
    </xf>
    <xf numFmtId="168" fontId="7" fillId="0" borderId="73" xfId="0" applyNumberFormat="1" applyFont="1" applyFill="1" applyBorder="1" applyAlignment="1">
      <alignment horizontal="center" vertical="top"/>
    </xf>
    <xf numFmtId="164" fontId="8" fillId="0" borderId="42" xfId="0" applyFont="1" applyFill="1" applyBorder="1" applyAlignment="1">
      <alignment horizontal="center" vertical="top" wrapText="1"/>
    </xf>
    <xf numFmtId="164" fontId="7" fillId="0" borderId="53" xfId="0" applyFont="1" applyFill="1" applyBorder="1" applyAlignment="1">
      <alignment horizontal="center" vertical="center" wrapText="1"/>
    </xf>
    <xf numFmtId="172" fontId="8" fillId="0" borderId="38" xfId="15" applyNumberFormat="1" applyFont="1" applyFill="1" applyBorder="1" applyAlignment="1" applyProtection="1">
      <alignment horizontal="center" vertical="center" wrapText="1"/>
      <protection/>
    </xf>
    <xf numFmtId="164" fontId="8" fillId="0" borderId="60" xfId="0" applyFont="1" applyFill="1" applyBorder="1" applyAlignment="1">
      <alignment horizontal="center" vertical="top" wrapText="1"/>
    </xf>
    <xf numFmtId="164" fontId="8" fillId="0" borderId="58" xfId="0" applyFont="1" applyFill="1" applyBorder="1" applyAlignment="1">
      <alignment horizontal="center" vertical="top" wrapText="1"/>
    </xf>
    <xf numFmtId="164" fontId="8" fillId="0" borderId="59" xfId="0" applyFont="1" applyFill="1" applyBorder="1" applyAlignment="1">
      <alignment horizontal="center" vertical="top" wrapText="1"/>
    </xf>
    <xf numFmtId="164" fontId="7" fillId="0" borderId="70" xfId="0" applyNumberFormat="1" applyFont="1" applyFill="1" applyBorder="1" applyAlignment="1">
      <alignment horizontal="center" vertical="top"/>
    </xf>
    <xf numFmtId="164" fontId="8" fillId="0" borderId="68" xfId="0" applyFont="1" applyFill="1" applyBorder="1" applyAlignment="1">
      <alignment horizontal="center" vertical="top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64" fontId="8" fillId="0" borderId="29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vertical="top" wrapText="1"/>
    </xf>
    <xf numFmtId="177" fontId="5" fillId="0" borderId="7" xfId="0" applyNumberFormat="1" applyFont="1" applyFill="1" applyBorder="1" applyAlignment="1">
      <alignment vertical="top" wrapText="1"/>
    </xf>
    <xf numFmtId="164" fontId="7" fillId="0" borderId="1" xfId="0" applyNumberFormat="1" applyFont="1" applyFill="1" applyBorder="1" applyAlignment="1">
      <alignment horizontal="center" vertical="top"/>
    </xf>
    <xf numFmtId="175" fontId="8" fillId="0" borderId="1" xfId="0" applyNumberFormat="1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top" wrapText="1"/>
    </xf>
    <xf numFmtId="164" fontId="5" fillId="0" borderId="7" xfId="0" applyFont="1" applyFill="1" applyBorder="1" applyAlignment="1">
      <alignment vertical="top" wrapText="1"/>
    </xf>
    <xf numFmtId="164" fontId="7" fillId="0" borderId="54" xfId="0" applyFont="1" applyFill="1" applyBorder="1" applyAlignment="1">
      <alignment horizontal="center" vertical="center" wrapText="1"/>
    </xf>
    <xf numFmtId="164" fontId="7" fillId="0" borderId="31" xfId="0" applyFont="1" applyFill="1" applyBorder="1" applyAlignment="1">
      <alignment horizontal="center" vertical="center" wrapText="1"/>
    </xf>
    <xf numFmtId="172" fontId="5" fillId="0" borderId="1" xfId="15" applyNumberFormat="1" applyFont="1" applyFill="1" applyBorder="1" applyAlignment="1" applyProtection="1">
      <alignment horizontal="center" vertical="center" wrapText="1"/>
      <protection/>
    </xf>
    <xf numFmtId="170" fontId="4" fillId="0" borderId="20" xfId="15" applyNumberFormat="1" applyFont="1" applyFill="1" applyBorder="1" applyAlignment="1" applyProtection="1">
      <alignment horizontal="center" vertical="center" wrapText="1"/>
      <protection/>
    </xf>
    <xf numFmtId="172" fontId="5" fillId="0" borderId="20" xfId="15" applyNumberFormat="1" applyFont="1" applyFill="1" applyBorder="1" applyAlignment="1" applyProtection="1">
      <alignment horizontal="center" vertical="center" wrapText="1"/>
      <protection/>
    </xf>
    <xf numFmtId="167" fontId="7" fillId="0" borderId="19" xfId="15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Font="1" applyFill="1" applyBorder="1" applyAlignment="1">
      <alignment horizontal="center" vertical="top" wrapText="1"/>
    </xf>
    <xf numFmtId="170" fontId="4" fillId="0" borderId="16" xfId="15" applyNumberFormat="1" applyFont="1" applyFill="1" applyBorder="1" applyAlignment="1" applyProtection="1">
      <alignment horizontal="center" vertical="center" wrapText="1"/>
      <protection/>
    </xf>
    <xf numFmtId="170" fontId="4" fillId="0" borderId="17" xfId="15" applyNumberFormat="1" applyFont="1" applyFill="1" applyBorder="1" applyAlignment="1" applyProtection="1">
      <alignment horizontal="center" vertical="center" wrapText="1"/>
      <protection/>
    </xf>
    <xf numFmtId="164" fontId="3" fillId="0" borderId="62" xfId="0" applyFont="1" applyFill="1" applyBorder="1" applyAlignment="1">
      <alignment horizontal="center"/>
    </xf>
    <xf numFmtId="164" fontId="6" fillId="0" borderId="60" xfId="0" applyFont="1" applyFill="1" applyBorder="1" applyAlignment="1">
      <alignment horizontal="center" vertical="top" wrapText="1"/>
    </xf>
    <xf numFmtId="164" fontId="6" fillId="0" borderId="74" xfId="0" applyFont="1" applyFill="1" applyBorder="1" applyAlignment="1">
      <alignment horizontal="center" vertical="top" wrapText="1"/>
    </xf>
    <xf numFmtId="170" fontId="7" fillId="0" borderId="5" xfId="15" applyNumberFormat="1" applyFont="1" applyFill="1" applyBorder="1" applyAlignment="1" applyProtection="1">
      <alignment horizontal="center" vertical="center" wrapText="1"/>
      <protection/>
    </xf>
    <xf numFmtId="170" fontId="4" fillId="0" borderId="5" xfId="15" applyNumberFormat="1" applyFont="1" applyFill="1" applyBorder="1" applyAlignment="1" applyProtection="1">
      <alignment horizontal="center" vertical="top" wrapText="1"/>
      <protection/>
    </xf>
    <xf numFmtId="170" fontId="7" fillId="0" borderId="5" xfId="15" applyNumberFormat="1" applyFont="1" applyFill="1" applyBorder="1" applyAlignment="1" applyProtection="1">
      <alignment horizontal="center" vertical="top" wrapText="1"/>
      <protection/>
    </xf>
    <xf numFmtId="172" fontId="5" fillId="0" borderId="6" xfId="15" applyNumberFormat="1" applyFont="1" applyFill="1" applyBorder="1" applyAlignment="1" applyProtection="1">
      <alignment horizontal="center" vertical="center" wrapText="1"/>
      <protection/>
    </xf>
    <xf numFmtId="170" fontId="4" fillId="0" borderId="1" xfId="15" applyNumberFormat="1" applyFont="1" applyFill="1" applyBorder="1" applyAlignment="1" applyProtection="1">
      <alignment horizontal="right" vertical="center" wrapText="1"/>
      <protection/>
    </xf>
    <xf numFmtId="164" fontId="7" fillId="0" borderId="21" xfId="0" applyFont="1" applyFill="1" applyBorder="1" applyAlignment="1">
      <alignment horizontal="center" vertical="top" wrapText="1"/>
    </xf>
    <xf numFmtId="172" fontId="5" fillId="0" borderId="30" xfId="15" applyNumberFormat="1" applyFont="1" applyFill="1" applyBorder="1" applyAlignment="1" applyProtection="1">
      <alignment horizontal="center" vertical="center" wrapText="1"/>
      <protection/>
    </xf>
    <xf numFmtId="170" fontId="7" fillId="0" borderId="29" xfId="15" applyNumberFormat="1" applyFont="1" applyFill="1" applyBorder="1" applyAlignment="1" applyProtection="1">
      <alignment horizontal="center" vertical="center" wrapText="1"/>
      <protection/>
    </xf>
    <xf numFmtId="164" fontId="5" fillId="0" borderId="75" xfId="0" applyFont="1" applyFill="1" applyBorder="1" applyAlignment="1">
      <alignment horizontal="left" vertical="top" wrapText="1"/>
    </xf>
    <xf numFmtId="164" fontId="3" fillId="0" borderId="16" xfId="0" applyFont="1" applyFill="1" applyBorder="1" applyAlignment="1">
      <alignment horizontal="center"/>
    </xf>
    <xf numFmtId="164" fontId="6" fillId="0" borderId="73" xfId="0" applyFont="1" applyFill="1" applyBorder="1" applyAlignment="1">
      <alignment horizontal="center" vertical="top" wrapText="1"/>
    </xf>
    <xf numFmtId="164" fontId="6" fillId="0" borderId="31" xfId="0" applyFont="1" applyFill="1" applyBorder="1" applyAlignment="1">
      <alignment horizontal="center" vertical="top" wrapText="1"/>
    </xf>
    <xf numFmtId="164" fontId="7" fillId="0" borderId="31" xfId="0" applyFont="1" applyFill="1" applyBorder="1" applyAlignment="1">
      <alignment horizontal="center" vertical="top" wrapText="1"/>
    </xf>
    <xf numFmtId="170" fontId="7" fillId="0" borderId="31" xfId="15" applyNumberFormat="1" applyFont="1" applyFill="1" applyBorder="1" applyAlignment="1" applyProtection="1">
      <alignment horizontal="center" vertical="center" wrapText="1"/>
      <protection/>
    </xf>
    <xf numFmtId="164" fontId="5" fillId="0" borderId="76" xfId="0" applyFont="1" applyFill="1" applyBorder="1" applyAlignment="1">
      <alignment horizontal="left" vertical="top" wrapText="1"/>
    </xf>
    <xf numFmtId="164" fontId="3" fillId="0" borderId="31" xfId="0" applyFont="1" applyFill="1" applyBorder="1" applyAlignment="1">
      <alignment/>
    </xf>
    <xf numFmtId="164" fontId="7" fillId="0" borderId="62" xfId="0" applyFont="1" applyFill="1" applyBorder="1" applyAlignment="1">
      <alignment horizontal="center" vertical="top"/>
    </xf>
    <xf numFmtId="164" fontId="0" fillId="0" borderId="26" xfId="0" applyFont="1" applyFill="1" applyBorder="1" applyAlignment="1">
      <alignment horizontal="center" vertical="top"/>
    </xf>
    <xf numFmtId="167" fontId="4" fillId="0" borderId="26" xfId="15" applyNumberFormat="1" applyFont="1" applyFill="1" applyBorder="1" applyAlignment="1" applyProtection="1">
      <alignment horizontal="center" vertical="top"/>
      <protection/>
    </xf>
    <xf numFmtId="164" fontId="0" fillId="0" borderId="19" xfId="0" applyFont="1" applyFill="1" applyBorder="1" applyAlignment="1">
      <alignment horizontal="center" vertical="top"/>
    </xf>
    <xf numFmtId="164" fontId="0" fillId="0" borderId="27" xfId="0" applyFont="1" applyFill="1" applyBorder="1" applyAlignment="1">
      <alignment horizontal="center" vertical="top"/>
    </xf>
    <xf numFmtId="164" fontId="7" fillId="0" borderId="73" xfId="0" applyFont="1" applyFill="1" applyBorder="1" applyAlignment="1">
      <alignment horizontal="left" vertical="top"/>
    </xf>
    <xf numFmtId="164" fontId="6" fillId="0" borderId="69" xfId="0" applyFont="1" applyFill="1" applyBorder="1" applyAlignment="1">
      <alignment vertical="top" wrapText="1"/>
    </xf>
    <xf numFmtId="164" fontId="0" fillId="0" borderId="31" xfId="0" applyFont="1" applyFill="1" applyBorder="1" applyAlignment="1">
      <alignment horizontal="left" vertical="top"/>
    </xf>
    <xf numFmtId="167" fontId="4" fillId="0" borderId="31" xfId="15" applyNumberFormat="1" applyFont="1" applyFill="1" applyBorder="1" applyAlignment="1" applyProtection="1">
      <alignment horizontal="left" vertical="top"/>
      <protection/>
    </xf>
    <xf numFmtId="164" fontId="0" fillId="0" borderId="31" xfId="0" applyFont="1" applyFill="1" applyBorder="1" applyAlignment="1">
      <alignment horizontal="left"/>
    </xf>
    <xf numFmtId="164" fontId="0" fillId="0" borderId="1" xfId="0" applyFont="1" applyFill="1" applyBorder="1" applyAlignment="1">
      <alignment horizontal="left"/>
    </xf>
    <xf numFmtId="164" fontId="0" fillId="0" borderId="7" xfId="0" applyFont="1" applyFill="1" applyBorder="1" applyAlignment="1">
      <alignment horizontal="left"/>
    </xf>
    <xf numFmtId="164" fontId="6" fillId="0" borderId="33" xfId="0" applyFont="1" applyFill="1" applyBorder="1" applyAlignment="1">
      <alignment horizontal="center" vertical="top" wrapText="1"/>
    </xf>
    <xf numFmtId="164" fontId="0" fillId="0" borderId="17" xfId="0" applyFont="1" applyFill="1" applyBorder="1" applyAlignment="1">
      <alignment horizontal="left" vertical="top"/>
    </xf>
    <xf numFmtId="164" fontId="4" fillId="0" borderId="46" xfId="0" applyFont="1" applyFill="1" applyBorder="1" applyAlignment="1">
      <alignment horizontal="center" vertical="top" wrapText="1"/>
    </xf>
    <xf numFmtId="170" fontId="6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/>
    </xf>
    <xf numFmtId="170" fontId="18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vertical="top" wrapText="1"/>
    </xf>
    <xf numFmtId="164" fontId="4" fillId="0" borderId="21" xfId="0" applyFont="1" applyFill="1" applyBorder="1" applyAlignment="1">
      <alignment horizontal="center" vertical="top" wrapText="1"/>
    </xf>
    <xf numFmtId="164" fontId="4" fillId="0" borderId="23" xfId="0" applyFont="1" applyFill="1" applyBorder="1" applyAlignment="1">
      <alignment horizontal="center" vertical="top" wrapText="1"/>
    </xf>
    <xf numFmtId="175" fontId="4" fillId="0" borderId="1" xfId="0" applyNumberFormat="1" applyFont="1" applyFill="1" applyBorder="1" applyAlignment="1">
      <alignment vertical="center" wrapText="1"/>
    </xf>
    <xf numFmtId="164" fontId="4" fillId="0" borderId="70" xfId="0" applyFont="1" applyFill="1" applyBorder="1" applyAlignment="1">
      <alignment horizontal="center" vertical="top"/>
    </xf>
    <xf numFmtId="175" fontId="4" fillId="0" borderId="68" xfId="0" applyNumberFormat="1" applyFont="1" applyFill="1" applyBorder="1" applyAlignment="1">
      <alignment horizontal="center" vertical="top" wrapText="1"/>
    </xf>
    <xf numFmtId="175" fontId="4" fillId="0" borderId="21" xfId="0" applyNumberFormat="1" applyFont="1" applyFill="1" applyBorder="1" applyAlignment="1">
      <alignment horizontal="center" vertical="top" wrapText="1"/>
    </xf>
    <xf numFmtId="170" fontId="3" fillId="0" borderId="1" xfId="0" applyNumberFormat="1" applyFont="1" applyFill="1" applyBorder="1" applyAlignment="1">
      <alignment vertical="center"/>
    </xf>
    <xf numFmtId="164" fontId="12" fillId="0" borderId="16" xfId="0" applyFont="1" applyFill="1" applyBorder="1" applyAlignment="1">
      <alignment horizontal="center" vertical="top" wrapText="1"/>
    </xf>
    <xf numFmtId="164" fontId="11" fillId="0" borderId="29" xfId="0" applyFont="1" applyFill="1" applyBorder="1" applyAlignment="1">
      <alignment horizontal="center" vertical="top" wrapText="1"/>
    </xf>
    <xf numFmtId="164" fontId="11" fillId="0" borderId="38" xfId="0" applyFont="1" applyFill="1" applyBorder="1" applyAlignment="1">
      <alignment horizontal="center" vertical="top" wrapText="1"/>
    </xf>
    <xf numFmtId="164" fontId="11" fillId="0" borderId="20" xfId="0" applyFont="1" applyFill="1" applyBorder="1" applyAlignment="1">
      <alignment horizontal="center" vertical="top" wrapText="1"/>
    </xf>
    <xf numFmtId="175" fontId="4" fillId="0" borderId="17" xfId="0" applyNumberFormat="1" applyFont="1" applyFill="1" applyBorder="1" applyAlignment="1">
      <alignment horizontal="center" vertical="top" wrapText="1"/>
    </xf>
    <xf numFmtId="164" fontId="7" fillId="0" borderId="30" xfId="0" applyFont="1" applyFill="1" applyBorder="1" applyAlignment="1">
      <alignment horizontal="center" vertical="top" wrapText="1"/>
    </xf>
    <xf numFmtId="164" fontId="5" fillId="0" borderId="38" xfId="0" applyFont="1" applyFill="1" applyBorder="1" applyAlignment="1">
      <alignment horizontal="center" vertical="top" wrapText="1"/>
    </xf>
    <xf numFmtId="164" fontId="7" fillId="0" borderId="18" xfId="0" applyFont="1" applyFill="1" applyBorder="1" applyAlignment="1">
      <alignment horizontal="center" vertical="top" wrapText="1"/>
    </xf>
    <xf numFmtId="175" fontId="4" fillId="0" borderId="47" xfId="0" applyNumberFormat="1" applyFont="1" applyFill="1" applyBorder="1" applyAlignment="1">
      <alignment horizontal="center" vertical="top" wrapText="1"/>
    </xf>
    <xf numFmtId="170" fontId="7" fillId="0" borderId="53" xfId="0" applyNumberFormat="1" applyFont="1" applyFill="1" applyBorder="1" applyAlignment="1">
      <alignment horizontal="center" vertical="top" wrapText="1"/>
    </xf>
    <xf numFmtId="175" fontId="4" fillId="0" borderId="73" xfId="0" applyNumberFormat="1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vertical="top" wrapText="1"/>
    </xf>
    <xf numFmtId="173" fontId="7" fillId="0" borderId="17" xfId="0" applyNumberFormat="1" applyFont="1" applyFill="1" applyBorder="1" applyAlignment="1">
      <alignment horizontal="center" vertical="top" wrapText="1"/>
    </xf>
    <xf numFmtId="173" fontId="3" fillId="0" borderId="0" xfId="0" applyNumberFormat="1" applyFont="1" applyFill="1" applyAlignment="1">
      <alignment/>
    </xf>
    <xf numFmtId="164" fontId="4" fillId="0" borderId="73" xfId="0" applyNumberFormat="1" applyFont="1" applyFill="1" applyBorder="1" applyAlignment="1">
      <alignment horizontal="center" vertical="top" wrapText="1"/>
    </xf>
    <xf numFmtId="175" fontId="4" fillId="0" borderId="77" xfId="0" applyNumberFormat="1" applyFont="1" applyFill="1" applyBorder="1" applyAlignment="1">
      <alignment horizontal="center" vertical="top" wrapText="1"/>
    </xf>
    <xf numFmtId="164" fontId="7" fillId="0" borderId="35" xfId="0" applyFont="1" applyFill="1" applyBorder="1" applyAlignment="1">
      <alignment vertical="top" wrapText="1"/>
    </xf>
    <xf numFmtId="164" fontId="5" fillId="0" borderId="36" xfId="0" applyFont="1" applyFill="1" applyBorder="1" applyAlignment="1">
      <alignment horizontal="center" vertical="center" wrapText="1"/>
    </xf>
    <xf numFmtId="175" fontId="4" fillId="0" borderId="26" xfId="0" applyNumberFormat="1" applyFont="1" applyFill="1" applyBorder="1" applyAlignment="1">
      <alignment horizontal="center" vertical="top" wrapText="1"/>
    </xf>
    <xf numFmtId="170" fontId="7" fillId="0" borderId="43" xfId="0" applyNumberFormat="1" applyFont="1" applyFill="1" applyBorder="1" applyAlignment="1">
      <alignment horizontal="center" vertical="center" wrapText="1"/>
    </xf>
    <xf numFmtId="178" fontId="4" fillId="0" borderId="22" xfId="15" applyNumberFormat="1" applyFont="1" applyFill="1" applyBorder="1" applyAlignment="1" applyProtection="1">
      <alignment horizontal="right" vertical="top" wrapText="1"/>
      <protection/>
    </xf>
    <xf numFmtId="175" fontId="4" fillId="0" borderId="22" xfId="0" applyNumberFormat="1" applyFont="1" applyFill="1" applyBorder="1" applyAlignment="1">
      <alignment horizontal="center" vertical="top" wrapText="1"/>
    </xf>
    <xf numFmtId="164" fontId="4" fillId="0" borderId="37" xfId="0" applyFont="1" applyFill="1" applyBorder="1" applyAlignment="1">
      <alignment horizontal="center" vertical="top"/>
    </xf>
    <xf numFmtId="175" fontId="4" fillId="0" borderId="46" xfId="0" applyNumberFormat="1" applyFont="1" applyFill="1" applyBorder="1" applyAlignment="1">
      <alignment horizontal="center" vertical="top" wrapText="1"/>
    </xf>
    <xf numFmtId="175" fontId="4" fillId="0" borderId="5" xfId="0" applyNumberFormat="1" applyFont="1" applyFill="1" applyBorder="1" applyAlignment="1">
      <alignment horizontal="center" vertical="top" wrapText="1"/>
    </xf>
    <xf numFmtId="170" fontId="7" fillId="0" borderId="5" xfId="0" applyNumberFormat="1" applyFont="1" applyFill="1" applyBorder="1" applyAlignment="1">
      <alignment horizontal="center" vertical="top" wrapText="1"/>
    </xf>
    <xf numFmtId="175" fontId="4" fillId="0" borderId="1" xfId="0" applyNumberFormat="1" applyFont="1" applyFill="1" applyBorder="1" applyAlignment="1">
      <alignment horizontal="center" vertical="top" wrapText="1"/>
    </xf>
    <xf numFmtId="175" fontId="4" fillId="0" borderId="35" xfId="0" applyNumberFormat="1" applyFont="1" applyFill="1" applyBorder="1" applyAlignment="1">
      <alignment horizontal="center" vertical="top" wrapText="1"/>
    </xf>
    <xf numFmtId="164" fontId="7" fillId="0" borderId="35" xfId="0" applyFont="1" applyFill="1" applyBorder="1" applyAlignment="1">
      <alignment horizontal="center" vertical="top" wrapText="1"/>
    </xf>
    <xf numFmtId="164" fontId="4" fillId="0" borderId="13" xfId="0" applyFont="1" applyFill="1" applyBorder="1" applyAlignment="1">
      <alignment horizontal="center" vertical="top"/>
    </xf>
    <xf numFmtId="175" fontId="4" fillId="0" borderId="13" xfId="0" applyNumberFormat="1" applyFont="1" applyFill="1" applyBorder="1" applyAlignment="1">
      <alignment horizontal="center" vertical="top" wrapText="1"/>
    </xf>
    <xf numFmtId="164" fontId="7" fillId="0" borderId="34" xfId="0" applyFont="1" applyFill="1" applyBorder="1" applyAlignment="1">
      <alignment horizontal="center" vertical="top" wrapText="1"/>
    </xf>
    <xf numFmtId="170" fontId="4" fillId="0" borderId="23" xfId="0" applyNumberFormat="1" applyFont="1" applyFill="1" applyBorder="1" applyAlignment="1">
      <alignment horizontal="center" vertical="top" wrapText="1"/>
    </xf>
    <xf numFmtId="167" fontId="4" fillId="0" borderId="23" xfId="15" applyNumberFormat="1" applyFont="1" applyFill="1" applyBorder="1" applyAlignment="1" applyProtection="1">
      <alignment horizontal="center" vertical="top" wrapText="1"/>
      <protection/>
    </xf>
    <xf numFmtId="175" fontId="4" fillId="0" borderId="23" xfId="0" applyNumberFormat="1" applyFont="1" applyFill="1" applyBorder="1" applyAlignment="1">
      <alignment horizontal="center" vertical="top" wrapText="1"/>
    </xf>
    <xf numFmtId="164" fontId="5" fillId="0" borderId="75" xfId="0" applyFont="1" applyFill="1" applyBorder="1" applyAlignment="1">
      <alignment horizontal="center" vertical="top" wrapText="1"/>
    </xf>
    <xf numFmtId="164" fontId="4" fillId="0" borderId="1" xfId="0" applyFont="1" applyFill="1" applyBorder="1" applyAlignment="1">
      <alignment horizontal="center" vertical="top"/>
    </xf>
    <xf numFmtId="164" fontId="5" fillId="0" borderId="27" xfId="0" applyFont="1" applyFill="1" applyBorder="1" applyAlignment="1">
      <alignment horizontal="center" vertical="top" wrapText="1"/>
    </xf>
    <xf numFmtId="164" fontId="7" fillId="0" borderId="1" xfId="0" applyFont="1" applyFill="1" applyBorder="1" applyAlignment="1">
      <alignment horizontal="center" vertical="top"/>
    </xf>
    <xf numFmtId="175" fontId="4" fillId="0" borderId="1" xfId="0" applyNumberFormat="1" applyFont="1" applyFill="1" applyBorder="1" applyAlignment="1">
      <alignment horizontal="center" vertical="center" wrapText="1"/>
    </xf>
    <xf numFmtId="175" fontId="4" fillId="0" borderId="22" xfId="0" applyNumberFormat="1" applyFont="1" applyFill="1" applyBorder="1" applyAlignment="1">
      <alignment horizontal="center" vertical="center" wrapText="1"/>
    </xf>
    <xf numFmtId="164" fontId="3" fillId="0" borderId="29" xfId="0" applyFont="1" applyFill="1" applyBorder="1" applyAlignment="1">
      <alignment horizontal="center"/>
    </xf>
    <xf numFmtId="164" fontId="7" fillId="0" borderId="10" xfId="0" applyFont="1" applyFill="1" applyBorder="1" applyAlignment="1">
      <alignment horizontal="center" vertical="top"/>
    </xf>
    <xf numFmtId="164" fontId="7" fillId="0" borderId="72" xfId="0" applyFont="1" applyFill="1" applyBorder="1" applyAlignment="1">
      <alignment horizontal="center" vertical="top"/>
    </xf>
    <xf numFmtId="164" fontId="7" fillId="0" borderId="45" xfId="0" applyFont="1" applyFill="1" applyBorder="1" applyAlignment="1">
      <alignment horizontal="center" vertical="top"/>
    </xf>
    <xf numFmtId="164" fontId="7" fillId="0" borderId="4" xfId="0" applyFont="1" applyFill="1" applyBorder="1" applyAlignment="1">
      <alignment horizontal="center" vertical="top" wrapText="1"/>
    </xf>
    <xf numFmtId="167" fontId="4" fillId="0" borderId="5" xfId="15" applyNumberFormat="1" applyFont="1" applyFill="1" applyBorder="1" applyAlignment="1" applyProtection="1">
      <alignment horizontal="center" vertical="top" wrapText="1"/>
      <protection/>
    </xf>
    <xf numFmtId="170" fontId="7" fillId="0" borderId="66" xfId="0" applyNumberFormat="1" applyFont="1" applyFill="1" applyBorder="1" applyAlignment="1">
      <alignment horizontal="center" vertical="top" wrapText="1"/>
    </xf>
    <xf numFmtId="164" fontId="7" fillId="0" borderId="8" xfId="0" applyFont="1" applyFill="1" applyBorder="1" applyAlignment="1">
      <alignment horizontal="center" vertical="top" wrapText="1"/>
    </xf>
    <xf numFmtId="170" fontId="7" fillId="0" borderId="56" xfId="0" applyNumberFormat="1" applyFont="1" applyFill="1" applyBorder="1" applyAlignment="1">
      <alignment horizontal="center" vertical="top" wrapText="1"/>
    </xf>
    <xf numFmtId="170" fontId="4" fillId="0" borderId="22" xfId="0" applyNumberFormat="1" applyFont="1" applyFill="1" applyBorder="1" applyAlignment="1">
      <alignment horizontal="right" vertical="top" wrapText="1"/>
    </xf>
    <xf numFmtId="170" fontId="7" fillId="0" borderId="63" xfId="0" applyNumberFormat="1" applyFont="1" applyFill="1" applyBorder="1" applyAlignment="1">
      <alignment horizontal="center" vertical="top" wrapText="1"/>
    </xf>
    <xf numFmtId="164" fontId="7" fillId="0" borderId="78" xfId="0" applyFont="1" applyFill="1" applyBorder="1" applyAlignment="1">
      <alignment horizontal="center" vertical="top"/>
    </xf>
    <xf numFmtId="164" fontId="7" fillId="0" borderId="28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/>
    </xf>
    <xf numFmtId="164" fontId="7" fillId="0" borderId="48" xfId="0" applyFont="1" applyFill="1" applyBorder="1" applyAlignment="1">
      <alignment horizontal="left" vertical="center"/>
    </xf>
    <xf numFmtId="164" fontId="7" fillId="0" borderId="20" xfId="0" applyFont="1" applyFill="1" applyBorder="1" applyAlignment="1">
      <alignment horizontal="center" vertical="center"/>
    </xf>
    <xf numFmtId="164" fontId="0" fillId="0" borderId="19" xfId="0" applyFont="1" applyFill="1" applyBorder="1" applyAlignment="1">
      <alignment horizontal="center"/>
    </xf>
    <xf numFmtId="164" fontId="0" fillId="0" borderId="7" xfId="0" applyFont="1" applyFill="1" applyBorder="1" applyAlignment="1">
      <alignment horizontal="center"/>
    </xf>
    <xf numFmtId="164" fontId="7" fillId="0" borderId="42" xfId="0" applyFont="1" applyFill="1" applyBorder="1" applyAlignment="1">
      <alignment horizontal="center" vertical="top"/>
    </xf>
    <xf numFmtId="164" fontId="0" fillId="0" borderId="31" xfId="0" applyFont="1" applyFill="1" applyBorder="1" applyAlignment="1">
      <alignment/>
    </xf>
    <xf numFmtId="167" fontId="4" fillId="0" borderId="31" xfId="15" applyNumberFormat="1" applyFont="1" applyFill="1" applyBorder="1" applyAlignment="1" applyProtection="1">
      <alignment/>
      <protection/>
    </xf>
    <xf numFmtId="164" fontId="7" fillId="0" borderId="70" xfId="0" applyFont="1" applyFill="1" applyBorder="1" applyAlignment="1">
      <alignment horizontal="left" vertical="center"/>
    </xf>
    <xf numFmtId="164" fontId="7" fillId="0" borderId="24" xfId="0" applyFont="1" applyFill="1" applyBorder="1" applyAlignment="1">
      <alignment horizontal="center" vertical="center"/>
    </xf>
    <xf numFmtId="164" fontId="16" fillId="0" borderId="30" xfId="0" applyFont="1" applyFill="1" applyBorder="1" applyAlignment="1">
      <alignment/>
    </xf>
    <xf numFmtId="167" fontId="4" fillId="0" borderId="30" xfId="15" applyNumberFormat="1" applyFont="1" applyFill="1" applyBorder="1" applyAlignment="1" applyProtection="1">
      <alignment/>
      <protection/>
    </xf>
    <xf numFmtId="164" fontId="16" fillId="0" borderId="1" xfId="0" applyFont="1" applyFill="1" applyBorder="1" applyAlignment="1">
      <alignment/>
    </xf>
    <xf numFmtId="164" fontId="16" fillId="0" borderId="7" xfId="0" applyFont="1" applyFill="1" applyBorder="1" applyAlignment="1">
      <alignment/>
    </xf>
    <xf numFmtId="164" fontId="4" fillId="0" borderId="78" xfId="0" applyFont="1" applyFill="1" applyBorder="1" applyAlignment="1">
      <alignment horizontal="center" vertical="top"/>
    </xf>
    <xf numFmtId="164" fontId="5" fillId="0" borderId="68" xfId="0" applyFont="1" applyFill="1" applyBorder="1" applyAlignment="1">
      <alignment horizontal="center" vertical="top" wrapText="1"/>
    </xf>
    <xf numFmtId="164" fontId="5" fillId="0" borderId="79" xfId="0" applyFont="1" applyFill="1" applyBorder="1" applyAlignment="1">
      <alignment horizontal="center" vertical="top" wrapText="1"/>
    </xf>
    <xf numFmtId="164" fontId="5" fillId="0" borderId="6" xfId="0" applyFont="1" applyFill="1" applyBorder="1" applyAlignment="1">
      <alignment horizontal="center" vertical="top" wrapText="1"/>
    </xf>
    <xf numFmtId="164" fontId="5" fillId="0" borderId="74" xfId="0" applyFont="1" applyFill="1" applyBorder="1" applyAlignment="1">
      <alignment horizontal="center" vertical="top" wrapText="1"/>
    </xf>
    <xf numFmtId="164" fontId="7" fillId="0" borderId="62" xfId="0" applyFont="1" applyFill="1" applyBorder="1" applyAlignment="1">
      <alignment horizontal="center" vertical="center" wrapText="1"/>
    </xf>
    <xf numFmtId="164" fontId="7" fillId="0" borderId="74" xfId="0" applyFont="1" applyFill="1" applyBorder="1" applyAlignment="1">
      <alignment horizontal="center" vertical="center" wrapText="1"/>
    </xf>
    <xf numFmtId="164" fontId="7" fillId="0" borderId="9" xfId="0" applyFont="1" applyFill="1" applyBorder="1" applyAlignment="1">
      <alignment horizontal="center" vertical="center" wrapText="1"/>
    </xf>
    <xf numFmtId="164" fontId="7" fillId="0" borderId="62" xfId="0" applyFont="1" applyFill="1" applyBorder="1" applyAlignment="1">
      <alignment horizontal="left" vertical="center" wrapText="1"/>
    </xf>
    <xf numFmtId="164" fontId="0" fillId="0" borderId="0" xfId="0" applyFont="1" applyFill="1" applyBorder="1" applyAlignment="1">
      <alignment/>
    </xf>
    <xf numFmtId="164" fontId="0" fillId="0" borderId="2" xfId="0" applyFont="1" applyFill="1" applyBorder="1" applyAlignment="1">
      <alignment/>
    </xf>
    <xf numFmtId="175" fontId="7" fillId="0" borderId="80" xfId="0" applyNumberFormat="1" applyFont="1" applyFill="1" applyBorder="1" applyAlignment="1">
      <alignment horizontal="left" vertical="center" wrapText="1"/>
    </xf>
    <xf numFmtId="164" fontId="0" fillId="0" borderId="26" xfId="0" applyFont="1" applyFill="1" applyBorder="1" applyAlignment="1">
      <alignment/>
    </xf>
    <xf numFmtId="167" fontId="4" fillId="0" borderId="26" xfId="15" applyNumberFormat="1" applyFont="1" applyFill="1" applyBorder="1" applyAlignment="1" applyProtection="1">
      <alignment/>
      <protection/>
    </xf>
    <xf numFmtId="164" fontId="0" fillId="0" borderId="3" xfId="0" applyFont="1" applyFill="1" applyBorder="1" applyAlignment="1">
      <alignment/>
    </xf>
    <xf numFmtId="164" fontId="4" fillId="0" borderId="64" xfId="0" applyFont="1" applyFill="1" applyBorder="1" applyAlignment="1">
      <alignment horizontal="center" vertical="top"/>
    </xf>
    <xf numFmtId="175" fontId="5" fillId="0" borderId="1" xfId="0" applyNumberFormat="1" applyFont="1" applyFill="1" applyBorder="1" applyAlignment="1">
      <alignment horizontal="center" vertical="top" wrapText="1"/>
    </xf>
    <xf numFmtId="175" fontId="5" fillId="0" borderId="29" xfId="0" applyNumberFormat="1" applyFont="1" applyFill="1" applyBorder="1" applyAlignment="1">
      <alignment vertical="top" wrapText="1"/>
    </xf>
    <xf numFmtId="170" fontId="4" fillId="0" borderId="18" xfId="0" applyNumberFormat="1" applyFont="1" applyFill="1" applyBorder="1" applyAlignment="1">
      <alignment horizontal="center" vertical="top" wrapText="1"/>
    </xf>
    <xf numFmtId="164" fontId="5" fillId="0" borderId="20" xfId="0" applyFont="1" applyFill="1" applyBorder="1" applyAlignment="1">
      <alignment horizontal="center" vertical="top" wrapText="1"/>
    </xf>
    <xf numFmtId="175" fontId="5" fillId="0" borderId="24" xfId="0" applyNumberFormat="1" applyFont="1" applyFill="1" applyBorder="1" applyAlignment="1">
      <alignment vertical="top" wrapText="1"/>
    </xf>
    <xf numFmtId="170" fontId="4" fillId="0" borderId="17" xfId="0" applyNumberFormat="1" applyFont="1" applyFill="1" applyBorder="1" applyAlignment="1">
      <alignment horizontal="center" vertical="top" wrapText="1"/>
    </xf>
    <xf numFmtId="170" fontId="4" fillId="0" borderId="31" xfId="0" applyNumberFormat="1" applyFont="1" applyFill="1" applyBorder="1" applyAlignment="1">
      <alignment horizontal="center" vertical="top" wrapText="1"/>
    </xf>
    <xf numFmtId="175" fontId="5" fillId="0" borderId="22" xfId="0" applyNumberFormat="1" applyFont="1" applyFill="1" applyBorder="1" applyAlignment="1">
      <alignment horizontal="center" vertical="top" wrapText="1"/>
    </xf>
    <xf numFmtId="175" fontId="5" fillId="0" borderId="0" xfId="0" applyNumberFormat="1" applyFont="1" applyFill="1" applyBorder="1" applyAlignment="1">
      <alignment vertical="top" wrapText="1"/>
    </xf>
    <xf numFmtId="164" fontId="4" fillId="0" borderId="51" xfId="0" applyFont="1" applyFill="1" applyBorder="1" applyAlignment="1">
      <alignment horizontal="center" vertical="top"/>
    </xf>
    <xf numFmtId="164" fontId="5" fillId="0" borderId="54" xfId="0" applyFont="1" applyFill="1" applyBorder="1" applyAlignment="1">
      <alignment horizontal="center" vertical="top" wrapText="1"/>
    </xf>
    <xf numFmtId="170" fontId="4" fillId="0" borderId="5" xfId="0" applyNumberFormat="1" applyFont="1" applyFill="1" applyBorder="1" applyAlignment="1">
      <alignment horizontal="center" vertical="top" wrapText="1"/>
    </xf>
    <xf numFmtId="164" fontId="5" fillId="0" borderId="0" xfId="0" applyFont="1" applyFill="1" applyBorder="1" applyAlignment="1">
      <alignment horizontal="center" vertical="top" wrapText="1"/>
    </xf>
    <xf numFmtId="164" fontId="4" fillId="0" borderId="54" xfId="0" applyFont="1" applyFill="1" applyBorder="1" applyAlignment="1">
      <alignment horizontal="center" vertical="top"/>
    </xf>
    <xf numFmtId="164" fontId="4" fillId="0" borderId="22" xfId="0" applyFont="1" applyFill="1" applyBorder="1" applyAlignment="1">
      <alignment horizontal="center" vertical="top"/>
    </xf>
    <xf numFmtId="164" fontId="4" fillId="0" borderId="0" xfId="0" applyFont="1" applyFill="1" applyBorder="1" applyAlignment="1">
      <alignment horizontal="center" vertical="top"/>
    </xf>
    <xf numFmtId="164" fontId="6" fillId="0" borderId="1" xfId="0" applyFont="1" applyFill="1" applyBorder="1" applyAlignment="1">
      <alignment horizontal="center" vertical="top"/>
    </xf>
    <xf numFmtId="164" fontId="6" fillId="0" borderId="22" xfId="0" applyFont="1" applyFill="1" applyBorder="1" applyAlignment="1">
      <alignment horizontal="center" vertical="top"/>
    </xf>
    <xf numFmtId="170" fontId="7" fillId="0" borderId="16" xfId="0" applyNumberFormat="1" applyFont="1" applyFill="1" applyBorder="1" applyAlignment="1">
      <alignment horizontal="center" vertical="top" wrapText="1"/>
    </xf>
    <xf numFmtId="164" fontId="6" fillId="0" borderId="23" xfId="0" applyFont="1" applyFill="1" applyBorder="1" applyAlignment="1">
      <alignment horizontal="center" vertical="top"/>
    </xf>
    <xf numFmtId="164" fontId="6" fillId="0" borderId="23" xfId="0" applyFont="1" applyFill="1" applyBorder="1" applyAlignment="1">
      <alignment vertical="top"/>
    </xf>
    <xf numFmtId="164" fontId="7" fillId="0" borderId="50" xfId="0" applyFont="1" applyFill="1" applyBorder="1" applyAlignment="1">
      <alignment horizontal="center" vertical="top" wrapText="1"/>
    </xf>
    <xf numFmtId="170" fontId="7" fillId="0" borderId="36" xfId="0" applyNumberFormat="1" applyFont="1" applyFill="1" applyBorder="1" applyAlignment="1">
      <alignment horizontal="center" vertical="top" wrapText="1"/>
    </xf>
    <xf numFmtId="164" fontId="6" fillId="0" borderId="34" xfId="0" applyFont="1" applyFill="1" applyBorder="1" applyAlignment="1">
      <alignment vertical="top"/>
    </xf>
    <xf numFmtId="164" fontId="7" fillId="0" borderId="15" xfId="0" applyFont="1" applyFill="1" applyBorder="1" applyAlignment="1">
      <alignment horizontal="center" vertical="top" wrapText="1"/>
    </xf>
    <xf numFmtId="167" fontId="4" fillId="0" borderId="46" xfId="15" applyNumberFormat="1" applyFont="1" applyFill="1" applyBorder="1" applyAlignment="1" applyProtection="1">
      <alignment horizontal="center" vertical="top" wrapText="1"/>
      <protection/>
    </xf>
    <xf numFmtId="164" fontId="6" fillId="0" borderId="19" xfId="0" applyFont="1" applyFill="1" applyBorder="1" applyAlignment="1">
      <alignment vertical="top"/>
    </xf>
    <xf numFmtId="170" fontId="7" fillId="0" borderId="6" xfId="0" applyNumberFormat="1" applyFont="1" applyFill="1" applyBorder="1" applyAlignment="1">
      <alignment horizontal="center" vertical="top" wrapText="1"/>
    </xf>
    <xf numFmtId="164" fontId="7" fillId="0" borderId="48" xfId="0" applyFont="1" applyFill="1" applyBorder="1" applyAlignment="1">
      <alignment horizontal="center" vertical="center"/>
    </xf>
    <xf numFmtId="167" fontId="4" fillId="0" borderId="20" xfId="15" applyNumberFormat="1" applyFont="1" applyFill="1" applyBorder="1" applyAlignment="1" applyProtection="1">
      <alignment horizontal="center" vertical="center"/>
      <protection/>
    </xf>
    <xf numFmtId="164" fontId="7" fillId="0" borderId="19" xfId="0" applyFont="1" applyFill="1" applyBorder="1" applyAlignment="1">
      <alignment horizontal="center" vertical="center"/>
    </xf>
    <xf numFmtId="164" fontId="7" fillId="0" borderId="7" xfId="0" applyFont="1" applyFill="1" applyBorder="1" applyAlignment="1">
      <alignment horizontal="center" vertical="center"/>
    </xf>
    <xf numFmtId="164" fontId="4" fillId="0" borderId="48" xfId="0" applyFont="1" applyFill="1" applyBorder="1" applyAlignment="1">
      <alignment horizontal="left" vertical="center"/>
    </xf>
    <xf numFmtId="164" fontId="4" fillId="0" borderId="20" xfId="0" applyFont="1" applyFill="1" applyBorder="1" applyAlignment="1">
      <alignment horizontal="left" vertical="center"/>
    </xf>
    <xf numFmtId="167" fontId="4" fillId="0" borderId="20" xfId="15" applyNumberFormat="1" applyFont="1" applyFill="1" applyBorder="1" applyAlignment="1" applyProtection="1">
      <alignment horizontal="left" vertical="center"/>
      <protection/>
    </xf>
    <xf numFmtId="164" fontId="4" fillId="0" borderId="1" xfId="0" applyFont="1" applyFill="1" applyBorder="1" applyAlignment="1">
      <alignment horizontal="left" vertical="center"/>
    </xf>
    <xf numFmtId="164" fontId="4" fillId="0" borderId="7" xfId="0" applyFont="1" applyFill="1" applyBorder="1" applyAlignment="1">
      <alignment horizontal="left" vertical="center"/>
    </xf>
    <xf numFmtId="164" fontId="4" fillId="0" borderId="62" xfId="0" applyFont="1" applyFill="1" applyBorder="1" applyAlignment="1">
      <alignment horizontal="left" vertical="center"/>
    </xf>
    <xf numFmtId="164" fontId="4" fillId="0" borderId="24" xfId="0" applyFont="1" applyFill="1" applyBorder="1" applyAlignment="1">
      <alignment horizontal="left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53" xfId="0" applyFont="1" applyFill="1" applyBorder="1" applyAlignment="1">
      <alignment horizontal="center" vertical="top" wrapText="1"/>
    </xf>
    <xf numFmtId="170" fontId="4" fillId="0" borderId="38" xfId="0" applyNumberFormat="1" applyFont="1" applyFill="1" applyBorder="1" applyAlignment="1">
      <alignment horizontal="center" vertical="top" wrapText="1"/>
    </xf>
    <xf numFmtId="164" fontId="5" fillId="0" borderId="37" xfId="0" applyFont="1" applyFill="1" applyBorder="1" applyAlignment="1">
      <alignment horizontal="center" vertical="center" wrapText="1"/>
    </xf>
    <xf numFmtId="164" fontId="0" fillId="0" borderId="1" xfId="0" applyFill="1" applyBorder="1" applyAlignment="1">
      <alignment horizontal="center" vertical="center"/>
    </xf>
    <xf numFmtId="164" fontId="0" fillId="0" borderId="7" xfId="0" applyFont="1" applyFill="1" applyBorder="1" applyAlignment="1">
      <alignment horizontal="center" vertical="center"/>
    </xf>
    <xf numFmtId="164" fontId="0" fillId="0" borderId="0" xfId="0" applyFont="1" applyFill="1" applyAlignment="1">
      <alignment/>
    </xf>
    <xf numFmtId="164" fontId="14" fillId="0" borderId="0" xfId="0" applyFont="1" applyAlignment="1">
      <alignment wrapText="1"/>
    </xf>
    <xf numFmtId="164" fontId="8" fillId="0" borderId="78" xfId="0" applyFont="1" applyFill="1" applyBorder="1" applyAlignment="1">
      <alignment horizontal="center" vertical="center" wrapText="1"/>
    </xf>
    <xf numFmtId="164" fontId="8" fillId="0" borderId="62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top" wrapText="1"/>
    </xf>
    <xf numFmtId="170" fontId="8" fillId="0" borderId="1" xfId="0" applyNumberFormat="1" applyFont="1" applyFill="1" applyBorder="1" applyAlignment="1">
      <alignment horizontal="center" vertical="center" wrapText="1"/>
    </xf>
    <xf numFmtId="170" fontId="5" fillId="0" borderId="1" xfId="0" applyNumberFormat="1" applyFont="1" applyFill="1" applyBorder="1" applyAlignment="1">
      <alignment horizontal="center" vertical="center" wrapText="1"/>
    </xf>
    <xf numFmtId="170" fontId="5" fillId="0" borderId="7" xfId="0" applyNumberFormat="1" applyFont="1" applyFill="1" applyBorder="1" applyAlignment="1">
      <alignment horizontal="center" vertical="top" wrapText="1"/>
    </xf>
    <xf numFmtId="179" fontId="5" fillId="0" borderId="17" xfId="0" applyNumberFormat="1" applyFont="1" applyFill="1" applyBorder="1" applyAlignment="1">
      <alignment vertical="center"/>
    </xf>
    <xf numFmtId="170" fontId="8" fillId="0" borderId="1" xfId="0" applyNumberFormat="1" applyFont="1" applyFill="1" applyBorder="1" applyAlignment="1">
      <alignment horizontal="right" vertical="center"/>
    </xf>
    <xf numFmtId="171" fontId="8" fillId="0" borderId="1" xfId="0" applyNumberFormat="1" applyFont="1" applyFill="1" applyBorder="1" applyAlignment="1">
      <alignment vertical="center"/>
    </xf>
    <xf numFmtId="180" fontId="8" fillId="0" borderId="1" xfId="0" applyNumberFormat="1" applyFont="1" applyFill="1" applyBorder="1" applyAlignment="1">
      <alignment vertical="center"/>
    </xf>
    <xf numFmtId="164" fontId="8" fillId="0" borderId="1" xfId="0" applyFont="1" applyFill="1" applyBorder="1" applyAlignment="1">
      <alignment vertical="center"/>
    </xf>
    <xf numFmtId="180" fontId="5" fillId="0" borderId="1" xfId="0" applyNumberFormat="1" applyFont="1" applyFill="1" applyBorder="1" applyAlignment="1">
      <alignment vertical="center"/>
    </xf>
    <xf numFmtId="179" fontId="8" fillId="0" borderId="1" xfId="0" applyNumberFormat="1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/>
    </xf>
    <xf numFmtId="170" fontId="8" fillId="0" borderId="1" xfId="0" applyNumberFormat="1" applyFont="1" applyFill="1" applyBorder="1" applyAlignment="1">
      <alignment vertical="center"/>
    </xf>
    <xf numFmtId="171" fontId="8" fillId="0" borderId="1" xfId="0" applyNumberFormat="1" applyFont="1" applyFill="1" applyBorder="1" applyAlignment="1">
      <alignment horizontal="center" vertical="center"/>
    </xf>
    <xf numFmtId="179" fontId="8" fillId="0" borderId="17" xfId="0" applyNumberFormat="1" applyFont="1" applyFill="1" applyBorder="1" applyAlignment="1">
      <alignment vertical="center"/>
    </xf>
    <xf numFmtId="164" fontId="5" fillId="0" borderId="17" xfId="0" applyFont="1" applyFill="1" applyBorder="1" applyAlignment="1">
      <alignment vertical="center"/>
    </xf>
    <xf numFmtId="164" fontId="8" fillId="0" borderId="17" xfId="0" applyFont="1" applyFill="1" applyBorder="1" applyAlignment="1">
      <alignment horizontal="center" vertical="center"/>
    </xf>
    <xf numFmtId="164" fontId="8" fillId="0" borderId="1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vertical="top" wrapText="1"/>
    </xf>
    <xf numFmtId="179" fontId="18" fillId="0" borderId="0" xfId="0" applyNumberFormat="1" applyFont="1" applyFill="1" applyAlignment="1">
      <alignment/>
    </xf>
    <xf numFmtId="170" fontId="5" fillId="0" borderId="0" xfId="0" applyNumberFormat="1" applyFont="1" applyFill="1" applyAlignment="1">
      <alignment/>
    </xf>
    <xf numFmtId="171" fontId="3" fillId="0" borderId="0" xfId="0" applyNumberFormat="1" applyFont="1" applyFill="1" applyAlignment="1">
      <alignment/>
    </xf>
    <xf numFmtId="180" fontId="3" fillId="0" borderId="0" xfId="0" applyNumberFormat="1" applyFont="1" applyFill="1" applyAlignment="1">
      <alignment/>
    </xf>
    <xf numFmtId="164" fontId="5" fillId="0" borderId="9" xfId="0" applyFont="1" applyFill="1" applyBorder="1" applyAlignment="1">
      <alignment horizontal="left" vertical="top"/>
    </xf>
    <xf numFmtId="168" fontId="3" fillId="0" borderId="0" xfId="0" applyNumberFormat="1" applyFont="1" applyFill="1" applyAlignment="1">
      <alignment/>
    </xf>
    <xf numFmtId="179" fontId="5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0" fontId="18" fillId="0" borderId="0" xfId="0" applyNumberFormat="1" applyFont="1" applyFill="1" applyAlignment="1">
      <alignment/>
    </xf>
    <xf numFmtId="164" fontId="15" fillId="0" borderId="0" xfId="0" applyFont="1" applyFill="1" applyAlignment="1">
      <alignment horizontal="center" vertical="top"/>
    </xf>
    <xf numFmtId="164" fontId="0" fillId="0" borderId="0" xfId="0" applyFill="1" applyAlignment="1">
      <alignment/>
    </xf>
    <xf numFmtId="164" fontId="0" fillId="0" borderId="0" xfId="0" applyFill="1" applyAlignment="1">
      <alignment/>
    </xf>
    <xf numFmtId="164" fontId="5" fillId="0" borderId="0" xfId="0" applyFont="1" applyFill="1" applyAlignment="1">
      <alignment horizontal="right" vertical="top"/>
    </xf>
    <xf numFmtId="164" fontId="11" fillId="0" borderId="0" xfId="0" applyFont="1" applyFill="1" applyBorder="1" applyAlignment="1">
      <alignment horizontal="center"/>
    </xf>
    <xf numFmtId="164" fontId="22" fillId="0" borderId="0" xfId="0" applyFont="1" applyFill="1" applyAlignment="1">
      <alignment horizontal="right"/>
    </xf>
    <xf numFmtId="164" fontId="11" fillId="0" borderId="0" xfId="0" applyFont="1" applyFill="1" applyBorder="1" applyAlignment="1">
      <alignment horizontal="center" vertical="center"/>
    </xf>
    <xf numFmtId="164" fontId="23" fillId="0" borderId="55" xfId="0" applyFont="1" applyFill="1" applyBorder="1" applyAlignment="1">
      <alignment horizontal="center" wrapText="1"/>
    </xf>
    <xf numFmtId="164" fontId="15" fillId="0" borderId="4" xfId="0" applyFont="1" applyFill="1" applyBorder="1" applyAlignment="1">
      <alignment horizontal="center" vertical="top"/>
    </xf>
    <xf numFmtId="164" fontId="11" fillId="0" borderId="5" xfId="0" applyFont="1" applyFill="1" applyBorder="1" applyAlignment="1">
      <alignment horizontal="center" vertical="top" wrapText="1"/>
    </xf>
    <xf numFmtId="164" fontId="11" fillId="0" borderId="66" xfId="0" applyFont="1" applyFill="1" applyBorder="1" applyAlignment="1">
      <alignment horizontal="center" vertical="top" wrapText="1"/>
    </xf>
    <xf numFmtId="164" fontId="15" fillId="0" borderId="8" xfId="0" applyFont="1" applyFill="1" applyBorder="1" applyAlignment="1">
      <alignment horizontal="center" vertical="top"/>
    </xf>
    <xf numFmtId="164" fontId="5" fillId="0" borderId="56" xfId="0" applyFont="1" applyFill="1" applyBorder="1" applyAlignment="1">
      <alignment horizontal="center" vertical="top" wrapText="1"/>
    </xf>
    <xf numFmtId="164" fontId="24" fillId="0" borderId="56" xfId="0" applyFont="1" applyFill="1" applyBorder="1" applyAlignment="1">
      <alignment horizontal="center" vertical="top" wrapText="1"/>
    </xf>
    <xf numFmtId="164" fontId="8" fillId="0" borderId="56" xfId="0" applyFont="1" applyFill="1" applyBorder="1" applyAlignment="1">
      <alignment horizontal="left" vertical="top" wrapText="1"/>
    </xf>
    <xf numFmtId="164" fontId="5" fillId="0" borderId="56" xfId="0" applyFont="1" applyFill="1" applyBorder="1" applyAlignment="1">
      <alignment horizontal="justify" vertical="top" wrapText="1"/>
    </xf>
    <xf numFmtId="164" fontId="8" fillId="0" borderId="1" xfId="0" applyFont="1" applyFill="1" applyBorder="1" applyAlignment="1">
      <alignment vertical="top" wrapText="1"/>
    </xf>
    <xf numFmtId="164" fontId="5" fillId="0" borderId="56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horizontal="center" vertical="top" wrapText="1"/>
    </xf>
    <xf numFmtId="171" fontId="12" fillId="0" borderId="1" xfId="0" applyNumberFormat="1" applyFont="1" applyFill="1" applyBorder="1" applyAlignment="1">
      <alignment horizontal="center" vertical="top" wrapText="1"/>
    </xf>
    <xf numFmtId="164" fontId="11" fillId="0" borderId="56" xfId="0" applyFont="1" applyFill="1" applyBorder="1" applyAlignment="1">
      <alignment horizontal="center" vertical="top" wrapText="1"/>
    </xf>
    <xf numFmtId="171" fontId="11" fillId="0" borderId="1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center" vertical="top" wrapText="1"/>
    </xf>
    <xf numFmtId="171" fontId="5" fillId="0" borderId="1" xfId="0" applyNumberFormat="1" applyFont="1" applyFill="1" applyBorder="1" applyAlignment="1">
      <alignment horizontal="center" vertical="top" wrapText="1"/>
    </xf>
    <xf numFmtId="170" fontId="11" fillId="0" borderId="1" xfId="0" applyNumberFormat="1" applyFont="1" applyFill="1" applyBorder="1" applyAlignment="1">
      <alignment horizontal="center" vertical="top" wrapText="1"/>
    </xf>
    <xf numFmtId="171" fontId="8" fillId="0" borderId="1" xfId="0" applyNumberFormat="1" applyFont="1" applyFill="1" applyBorder="1" applyAlignment="1">
      <alignment horizontal="center" vertical="top" wrapText="1"/>
    </xf>
    <xf numFmtId="164" fontId="0" fillId="0" borderId="65" xfId="0" applyFill="1" applyBorder="1" applyAlignment="1">
      <alignment vertical="top" wrapText="1"/>
    </xf>
    <xf numFmtId="181" fontId="5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center" wrapText="1"/>
    </xf>
    <xf numFmtId="181" fontId="12" fillId="0" borderId="1" xfId="0" applyNumberFormat="1" applyFont="1" applyFill="1" applyBorder="1" applyAlignment="1">
      <alignment horizontal="center" vertical="center" wrapText="1"/>
    </xf>
    <xf numFmtId="18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Font="1" applyFill="1" applyBorder="1" applyAlignment="1">
      <alignment horizontal="left" vertical="center" wrapText="1"/>
    </xf>
    <xf numFmtId="164" fontId="11" fillId="0" borderId="1" xfId="0" applyFont="1" applyFill="1" applyBorder="1" applyAlignment="1">
      <alignment vertical="center" wrapText="1"/>
    </xf>
    <xf numFmtId="168" fontId="11" fillId="0" borderId="1" xfId="0" applyNumberFormat="1" applyFont="1" applyFill="1" applyBorder="1" applyAlignment="1">
      <alignment horizontal="center" vertical="center" wrapText="1"/>
    </xf>
    <xf numFmtId="182" fontId="11" fillId="0" borderId="1" xfId="0" applyNumberFormat="1" applyFont="1" applyFill="1" applyBorder="1" applyAlignment="1">
      <alignment horizontal="center" vertical="center" wrapText="1"/>
    </xf>
    <xf numFmtId="181" fontId="11" fillId="0" borderId="1" xfId="0" applyNumberFormat="1" applyFont="1" applyFill="1" applyBorder="1" applyAlignment="1">
      <alignment horizontal="center" vertical="top" wrapText="1"/>
    </xf>
    <xf numFmtId="181" fontId="5" fillId="0" borderId="1" xfId="0" applyNumberFormat="1" applyFont="1" applyFill="1" applyBorder="1" applyAlignment="1">
      <alignment horizontal="center" vertical="top" wrapText="1"/>
    </xf>
    <xf numFmtId="182" fontId="11" fillId="0" borderId="1" xfId="0" applyNumberFormat="1" applyFont="1" applyFill="1" applyBorder="1" applyAlignment="1">
      <alignment horizontal="center" vertical="top" wrapText="1"/>
    </xf>
    <xf numFmtId="182" fontId="25" fillId="0" borderId="1" xfId="0" applyNumberFormat="1" applyFont="1" applyFill="1" applyBorder="1" applyAlignment="1">
      <alignment horizontal="center" vertical="top" wrapText="1"/>
    </xf>
    <xf numFmtId="182" fontId="5" fillId="0" borderId="1" xfId="0" applyNumberFormat="1" applyFont="1" applyFill="1" applyBorder="1" applyAlignment="1">
      <alignment horizontal="center" vertical="top" wrapText="1"/>
    </xf>
    <xf numFmtId="177" fontId="11" fillId="0" borderId="1" xfId="0" applyNumberFormat="1" applyFont="1" applyFill="1" applyBorder="1" applyAlignment="1">
      <alignment horizontal="center" vertical="top" wrapText="1"/>
    </xf>
    <xf numFmtId="181" fontId="11" fillId="0" borderId="1" xfId="0" applyNumberFormat="1" applyFont="1" applyFill="1" applyBorder="1" applyAlignment="1">
      <alignment vertical="top" wrapText="1"/>
    </xf>
    <xf numFmtId="164" fontId="11" fillId="0" borderId="22" xfId="0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top" wrapText="1"/>
    </xf>
    <xf numFmtId="172" fontId="8" fillId="0" borderId="1" xfId="0" applyNumberFormat="1" applyFont="1" applyFill="1" applyBorder="1" applyAlignment="1">
      <alignment horizontal="center" vertical="top" wrapText="1"/>
    </xf>
    <xf numFmtId="179" fontId="12" fillId="0" borderId="1" xfId="0" applyNumberFormat="1" applyFont="1" applyFill="1" applyBorder="1" applyAlignment="1">
      <alignment horizontal="center" vertical="top" wrapText="1"/>
    </xf>
    <xf numFmtId="179" fontId="12" fillId="0" borderId="1" xfId="0" applyNumberFormat="1" applyFont="1" applyFill="1" applyBorder="1" applyAlignment="1">
      <alignment vertical="top" wrapText="1"/>
    </xf>
    <xf numFmtId="182" fontId="12" fillId="0" borderId="1" xfId="0" applyNumberFormat="1" applyFont="1" applyFill="1" applyBorder="1" applyAlignment="1">
      <alignment horizontal="center" vertical="top" wrapText="1"/>
    </xf>
    <xf numFmtId="172" fontId="12" fillId="0" borderId="1" xfId="0" applyNumberFormat="1" applyFont="1" applyFill="1" applyBorder="1" applyAlignment="1">
      <alignment horizontal="center" vertical="top" wrapText="1"/>
    </xf>
    <xf numFmtId="179" fontId="5" fillId="0" borderId="1" xfId="0" applyNumberFormat="1" applyFont="1" applyFill="1" applyBorder="1" applyAlignment="1">
      <alignment horizontal="center" vertical="top" wrapText="1"/>
    </xf>
    <xf numFmtId="179" fontId="11" fillId="0" borderId="1" xfId="0" applyNumberFormat="1" applyFont="1" applyFill="1" applyBorder="1" applyAlignment="1">
      <alignment horizontal="center" vertical="top" wrapText="1"/>
    </xf>
    <xf numFmtId="179" fontId="11" fillId="0" borderId="1" xfId="0" applyNumberFormat="1" applyFont="1" applyFill="1" applyBorder="1" applyAlignment="1">
      <alignment vertical="top" wrapText="1"/>
    </xf>
    <xf numFmtId="172" fontId="11" fillId="0" borderId="1" xfId="0" applyNumberFormat="1" applyFont="1" applyFill="1" applyBorder="1" applyAlignment="1">
      <alignment horizontal="center" vertical="top" wrapText="1"/>
    </xf>
    <xf numFmtId="183" fontId="12" fillId="0" borderId="1" xfId="0" applyNumberFormat="1" applyFont="1" applyFill="1" applyBorder="1" applyAlignment="1">
      <alignment horizontal="center" vertical="top" wrapText="1"/>
    </xf>
    <xf numFmtId="182" fontId="11" fillId="0" borderId="1" xfId="0" applyNumberFormat="1" applyFont="1" applyFill="1" applyBorder="1" applyAlignment="1">
      <alignment vertical="top" wrapText="1"/>
    </xf>
    <xf numFmtId="164" fontId="11" fillId="0" borderId="56" xfId="0" applyFont="1" applyFill="1" applyBorder="1" applyAlignment="1">
      <alignment vertical="top" wrapText="1"/>
    </xf>
    <xf numFmtId="182" fontId="0" fillId="0" borderId="0" xfId="0" applyNumberFormat="1" applyFill="1" applyAlignment="1">
      <alignment/>
    </xf>
    <xf numFmtId="164" fontId="24" fillId="0" borderId="56" xfId="0" applyFont="1" applyFill="1" applyBorder="1" applyAlignment="1">
      <alignment horizontal="left" vertical="top" wrapText="1"/>
    </xf>
    <xf numFmtId="164" fontId="26" fillId="0" borderId="56" xfId="0" applyFont="1" applyFill="1" applyBorder="1" applyAlignment="1">
      <alignment horizontal="left" vertical="top" wrapText="1"/>
    </xf>
    <xf numFmtId="164" fontId="26" fillId="0" borderId="1" xfId="0" applyFont="1" applyFill="1" applyBorder="1" applyAlignment="1">
      <alignment vertical="top" wrapText="1"/>
    </xf>
    <xf numFmtId="164" fontId="26" fillId="0" borderId="56" xfId="0" applyFont="1" applyFill="1" applyBorder="1" applyAlignment="1">
      <alignment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77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center" wrapText="1"/>
    </xf>
    <xf numFmtId="181" fontId="8" fillId="0" borderId="1" xfId="0" applyNumberFormat="1" applyFont="1" applyFill="1" applyBorder="1" applyAlignment="1">
      <alignment horizontal="center" vertical="top" wrapText="1"/>
    </xf>
    <xf numFmtId="164" fontId="5" fillId="0" borderId="19" xfId="0" applyFont="1" applyFill="1" applyBorder="1" applyAlignment="1">
      <alignment horizontal="center" vertical="top" wrapText="1"/>
    </xf>
    <xf numFmtId="164" fontId="0" fillId="0" borderId="26" xfId="0" applyFill="1" applyBorder="1" applyAlignment="1">
      <alignment/>
    </xf>
    <xf numFmtId="164" fontId="5" fillId="0" borderId="19" xfId="0" applyNumberFormat="1" applyFont="1" applyFill="1" applyBorder="1" applyAlignment="1">
      <alignment horizontal="center" vertical="top" wrapText="1"/>
    </xf>
    <xf numFmtId="181" fontId="5" fillId="0" borderId="19" xfId="0" applyNumberFormat="1" applyFont="1" applyFill="1" applyBorder="1" applyAlignment="1">
      <alignment horizontal="center" vertical="top" wrapText="1"/>
    </xf>
    <xf numFmtId="181" fontId="8" fillId="0" borderId="19" xfId="0" applyNumberFormat="1" applyFont="1" applyFill="1" applyBorder="1" applyAlignment="1">
      <alignment horizontal="center" vertical="top" wrapText="1"/>
    </xf>
    <xf numFmtId="164" fontId="5" fillId="0" borderId="19" xfId="0" applyFont="1" applyFill="1" applyBorder="1" applyAlignment="1">
      <alignment vertical="top" wrapText="1"/>
    </xf>
    <xf numFmtId="164" fontId="15" fillId="0" borderId="8" xfId="0" applyFont="1" applyFill="1" applyBorder="1" applyAlignment="1">
      <alignment horizontal="center" vertical="center"/>
    </xf>
    <xf numFmtId="164" fontId="27" fillId="0" borderId="1" xfId="0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horizontal="center" vertical="center"/>
    </xf>
    <xf numFmtId="182" fontId="12" fillId="0" borderId="1" xfId="0" applyNumberFormat="1" applyFont="1" applyFill="1" applyBorder="1" applyAlignment="1">
      <alignment horizontal="center" vertical="center"/>
    </xf>
    <xf numFmtId="177" fontId="12" fillId="0" borderId="1" xfId="0" applyNumberFormat="1" applyFont="1" applyFill="1" applyBorder="1" applyAlignment="1">
      <alignment horizontal="center" vertical="center"/>
    </xf>
    <xf numFmtId="164" fontId="5" fillId="0" borderId="35" xfId="0" applyFont="1" applyFill="1" applyBorder="1" applyAlignment="1">
      <alignment horizontal="center" vertical="center" wrapText="1"/>
    </xf>
    <xf numFmtId="164" fontId="0" fillId="0" borderId="0" xfId="0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177" fontId="27" fillId="0" borderId="1" xfId="0" applyNumberFormat="1" applyFont="1" applyFill="1" applyBorder="1" applyAlignment="1">
      <alignment horizontal="center" vertical="center"/>
    </xf>
    <xf numFmtId="182" fontId="0" fillId="0" borderId="0" xfId="0" applyNumberFormat="1" applyFill="1" applyAlignment="1">
      <alignment vertical="center"/>
    </xf>
    <xf numFmtId="182" fontId="9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0" fillId="0" borderId="0" xfId="0" applyNumberFormat="1" applyFill="1" applyAlignment="1">
      <alignment vertical="center"/>
    </xf>
    <xf numFmtId="164" fontId="15" fillId="0" borderId="1" xfId="0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170" fontId="9" fillId="0" borderId="1" xfId="15" applyNumberFormat="1" applyFont="1" applyFill="1" applyBorder="1" applyAlignment="1" applyProtection="1">
      <alignment horizontal="center" vertical="center" wrapText="1"/>
      <protection/>
    </xf>
    <xf numFmtId="170" fontId="9" fillId="0" borderId="1" xfId="0" applyNumberFormat="1" applyFont="1" applyFill="1" applyBorder="1" applyAlignment="1">
      <alignment horizontal="center" vertical="center" wrapText="1"/>
    </xf>
    <xf numFmtId="170" fontId="28" fillId="0" borderId="1" xfId="0" applyNumberFormat="1" applyFont="1" applyFill="1" applyBorder="1" applyAlignment="1">
      <alignment horizontal="center" vertical="center"/>
    </xf>
    <xf numFmtId="164" fontId="9" fillId="0" borderId="34" xfId="0" applyFont="1" applyFill="1" applyBorder="1" applyAlignment="1">
      <alignment horizontal="center" vertical="center" wrapText="1"/>
    </xf>
    <xf numFmtId="164" fontId="15" fillId="0" borderId="0" xfId="0" applyFont="1" applyFill="1" applyBorder="1" applyAlignment="1">
      <alignment horizontal="center" vertical="center"/>
    </xf>
    <xf numFmtId="164" fontId="12" fillId="0" borderId="0" xfId="0" applyFont="1" applyFill="1" applyBorder="1" applyAlignment="1">
      <alignment horizontal="center" vertical="center" wrapText="1"/>
    </xf>
    <xf numFmtId="167" fontId="12" fillId="0" borderId="0" xfId="15" applyNumberFormat="1" applyFont="1" applyFill="1" applyBorder="1" applyAlignment="1" applyProtection="1">
      <alignment horizontal="center" vertical="center" wrapText="1"/>
      <protection/>
    </xf>
    <xf numFmtId="171" fontId="12" fillId="0" borderId="0" xfId="0" applyNumberFormat="1" applyFont="1" applyFill="1" applyBorder="1" applyAlignment="1">
      <alignment horizontal="center" vertical="center" wrapText="1"/>
    </xf>
    <xf numFmtId="177" fontId="27" fillId="0" borderId="0" xfId="0" applyNumberFormat="1" applyFont="1" applyFill="1" applyBorder="1" applyAlignment="1">
      <alignment horizontal="center" vertical="center"/>
    </xf>
    <xf numFmtId="182" fontId="12" fillId="0" borderId="0" xfId="0" applyNumberFormat="1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0" fillId="0" borderId="0" xfId="0" applyFont="1" applyFill="1" applyAlignment="1">
      <alignment/>
    </xf>
    <xf numFmtId="179" fontId="4" fillId="0" borderId="0" xfId="0" applyNumberFormat="1" applyFont="1" applyFill="1" applyAlignment="1">
      <alignment/>
    </xf>
    <xf numFmtId="170" fontId="11" fillId="0" borderId="0" xfId="0" applyNumberFormat="1" applyFont="1" applyFill="1" applyAlignment="1">
      <alignment horizontal="center"/>
    </xf>
    <xf numFmtId="164" fontId="4" fillId="0" borderId="0" xfId="0" applyFont="1" applyFill="1" applyAlignment="1">
      <alignment horizontal="right"/>
    </xf>
    <xf numFmtId="171" fontId="7" fillId="0" borderId="0" xfId="0" applyNumberFormat="1" applyFont="1" applyFill="1" applyAlignment="1">
      <alignment/>
    </xf>
    <xf numFmtId="180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/>
    </xf>
    <xf numFmtId="171" fontId="4" fillId="0" borderId="0" xfId="0" applyNumberFormat="1" applyFont="1" applyFill="1" applyAlignment="1">
      <alignment/>
    </xf>
    <xf numFmtId="181" fontId="4" fillId="0" borderId="0" xfId="0" applyNumberFormat="1" applyFont="1" applyFill="1" applyAlignment="1">
      <alignment/>
    </xf>
    <xf numFmtId="170" fontId="4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64" fontId="15" fillId="0" borderId="0" xfId="0" applyFont="1" applyFill="1" applyAlignment="1">
      <alignment/>
    </xf>
    <xf numFmtId="164" fontId="3" fillId="0" borderId="0" xfId="0" applyFont="1" applyFill="1" applyAlignment="1">
      <alignment horizontal="right"/>
    </xf>
    <xf numFmtId="164" fontId="29" fillId="0" borderId="0" xfId="0" applyFont="1" applyFill="1" applyAlignment="1">
      <alignment/>
    </xf>
    <xf numFmtId="164" fontId="11" fillId="0" borderId="0" xfId="0" applyFont="1" applyFill="1" applyAlignment="1">
      <alignment/>
    </xf>
    <xf numFmtId="164" fontId="11" fillId="0" borderId="81" xfId="0" applyFont="1" applyFill="1" applyBorder="1" applyAlignment="1">
      <alignment horizontal="left"/>
    </xf>
    <xf numFmtId="164" fontId="29" fillId="0" borderId="0" xfId="0" applyFont="1" applyFill="1" applyAlignment="1">
      <alignment horizontal="right"/>
    </xf>
    <xf numFmtId="164" fontId="12" fillId="0" borderId="0" xfId="0" applyFont="1" applyFill="1" applyAlignment="1">
      <alignment horizontal="center"/>
    </xf>
    <xf numFmtId="164" fontId="27" fillId="0" borderId="0" xfId="0" applyFont="1" applyFill="1" applyAlignment="1">
      <alignment/>
    </xf>
    <xf numFmtId="164" fontId="27" fillId="0" borderId="0" xfId="0" applyFont="1" applyFill="1" applyAlignment="1">
      <alignment/>
    </xf>
    <xf numFmtId="164" fontId="5" fillId="0" borderId="0" xfId="0" applyFont="1" applyFill="1" applyAlignment="1">
      <alignment/>
    </xf>
    <xf numFmtId="164" fontId="22" fillId="0" borderId="0" xfId="0" applyFont="1" applyFill="1" applyAlignment="1">
      <alignment/>
    </xf>
    <xf numFmtId="164" fontId="9" fillId="0" borderId="4" xfId="0" applyFont="1" applyFill="1" applyBorder="1" applyAlignment="1">
      <alignment horizontal="center" vertical="top" wrapText="1"/>
    </xf>
    <xf numFmtId="164" fontId="9" fillId="0" borderId="5" xfId="0" applyFont="1" applyFill="1" applyBorder="1" applyAlignment="1">
      <alignment horizontal="center" vertical="top" wrapText="1"/>
    </xf>
    <xf numFmtId="164" fontId="9" fillId="0" borderId="5" xfId="0" applyFont="1" applyFill="1" applyBorder="1" applyAlignment="1">
      <alignment horizontal="center" vertical="center" wrapText="1"/>
    </xf>
    <xf numFmtId="164" fontId="9" fillId="0" borderId="5" xfId="0" applyFont="1" applyFill="1" applyBorder="1" applyAlignment="1">
      <alignment horizontal="center"/>
    </xf>
    <xf numFmtId="164" fontId="9" fillId="0" borderId="66" xfId="0" applyFont="1" applyFill="1" applyBorder="1" applyAlignment="1">
      <alignment horizontal="center" vertical="top" wrapText="1"/>
    </xf>
    <xf numFmtId="164" fontId="9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horizontal="center" wrapText="1"/>
    </xf>
    <xf numFmtId="164" fontId="9" fillId="0" borderId="1" xfId="0" applyFont="1" applyFill="1" applyBorder="1" applyAlignment="1">
      <alignment horizontal="center" vertical="center"/>
    </xf>
    <xf numFmtId="164" fontId="9" fillId="0" borderId="1" xfId="0" applyFont="1" applyFill="1" applyBorder="1" applyAlignment="1">
      <alignment horizontal="center" vertical="top" wrapText="1"/>
    </xf>
    <xf numFmtId="164" fontId="12" fillId="0" borderId="8" xfId="0" applyFont="1" applyFill="1" applyBorder="1" applyAlignment="1">
      <alignment horizontal="center" vertical="top" wrapText="1"/>
    </xf>
    <xf numFmtId="164" fontId="12" fillId="0" borderId="56" xfId="0" applyFont="1" applyFill="1" applyBorder="1" applyAlignment="1">
      <alignment horizontal="center" vertical="top" wrapText="1"/>
    </xf>
    <xf numFmtId="164" fontId="12" fillId="0" borderId="11" xfId="0" applyFont="1" applyFill="1" applyBorder="1" applyAlignment="1">
      <alignment horizontal="center" vertical="top" wrapText="1"/>
    </xf>
    <xf numFmtId="164" fontId="11" fillId="0" borderId="11" xfId="0" applyFont="1" applyFill="1" applyBorder="1" applyAlignment="1">
      <alignment horizontal="left" vertical="top" wrapText="1"/>
    </xf>
    <xf numFmtId="168" fontId="11" fillId="0" borderId="8" xfId="0" applyNumberFormat="1" applyFont="1" applyFill="1" applyBorder="1" applyAlignment="1">
      <alignment horizontal="center" vertical="top" wrapText="1"/>
    </xf>
    <xf numFmtId="171" fontId="11" fillId="0" borderId="1" xfId="0" applyNumberFormat="1" applyFont="1" applyFill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 vertical="center"/>
    </xf>
    <xf numFmtId="164" fontId="0" fillId="0" borderId="1" xfId="0" applyFont="1" applyFill="1" applyBorder="1" applyAlignment="1">
      <alignment/>
    </xf>
    <xf numFmtId="164" fontId="30" fillId="0" borderId="1" xfId="0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horizontal="center" vertical="center" wrapText="1"/>
    </xf>
    <xf numFmtId="164" fontId="3" fillId="0" borderId="56" xfId="0" applyFont="1" applyFill="1" applyBorder="1" applyAlignment="1">
      <alignment horizontal="center" vertical="top" wrapText="1"/>
    </xf>
    <xf numFmtId="164" fontId="8" fillId="0" borderId="8" xfId="0" applyFont="1" applyFill="1" applyBorder="1" applyAlignment="1">
      <alignment horizontal="center" vertical="top" wrapText="1"/>
    </xf>
    <xf numFmtId="170" fontId="12" fillId="0" borderId="1" xfId="0" applyNumberFormat="1" applyFont="1" applyFill="1" applyBorder="1" applyAlignment="1">
      <alignment horizontal="center" vertical="center" wrapText="1"/>
    </xf>
    <xf numFmtId="164" fontId="11" fillId="0" borderId="8" xfId="0" applyFont="1" applyFill="1" applyBorder="1" applyAlignment="1">
      <alignment horizontal="left" vertical="top" wrapText="1"/>
    </xf>
    <xf numFmtId="164" fontId="11" fillId="0" borderId="8" xfId="0" applyFont="1" applyFill="1" applyBorder="1" applyAlignment="1">
      <alignment horizontal="center" vertical="top" wrapText="1"/>
    </xf>
    <xf numFmtId="179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79" fontId="11" fillId="0" borderId="1" xfId="0" applyNumberFormat="1" applyFont="1" applyFill="1" applyBorder="1" applyAlignment="1">
      <alignment horizontal="center" vertical="center" wrapText="1"/>
    </xf>
    <xf numFmtId="172" fontId="11" fillId="0" borderId="1" xfId="0" applyNumberFormat="1" applyFont="1" applyFill="1" applyBorder="1" applyAlignment="1">
      <alignment horizontal="center" vertical="center" wrapText="1"/>
    </xf>
    <xf numFmtId="170" fontId="11" fillId="0" borderId="1" xfId="0" applyNumberFormat="1" applyFont="1" applyFill="1" applyBorder="1" applyAlignment="1">
      <alignment horizontal="center" vertical="center" wrapText="1"/>
    </xf>
    <xf numFmtId="164" fontId="12" fillId="0" borderId="1" xfId="0" applyFont="1" applyFill="1" applyBorder="1" applyAlignment="1">
      <alignment vertical="top" wrapText="1"/>
    </xf>
    <xf numFmtId="164" fontId="12" fillId="0" borderId="17" xfId="0" applyFont="1" applyFill="1" applyBorder="1" applyAlignment="1">
      <alignment horizontal="center" vertical="top" wrapText="1"/>
    </xf>
    <xf numFmtId="164" fontId="12" fillId="0" borderId="17" xfId="0" applyFont="1" applyFill="1" applyBorder="1" applyAlignment="1">
      <alignment horizontal="center" vertical="center" wrapText="1"/>
    </xf>
    <xf numFmtId="170" fontId="12" fillId="0" borderId="1" xfId="0" applyNumberFormat="1" applyFont="1" applyFill="1" applyBorder="1" applyAlignment="1">
      <alignment horizontal="center" vertical="top" wrapText="1"/>
    </xf>
    <xf numFmtId="168" fontId="11" fillId="0" borderId="8" xfId="17" applyNumberFormat="1" applyFont="1" applyFill="1" applyBorder="1" applyAlignment="1" applyProtection="1">
      <alignment horizontal="center" vertical="top" wrapText="1"/>
      <protection/>
    </xf>
    <xf numFmtId="164" fontId="11" fillId="0" borderId="19" xfId="0" applyFont="1" applyFill="1" applyBorder="1" applyAlignment="1">
      <alignment horizontal="center" vertical="top" wrapText="1"/>
    </xf>
    <xf numFmtId="172" fontId="12" fillId="0" borderId="1" xfId="0" applyNumberFormat="1" applyFont="1" applyFill="1" applyBorder="1" applyAlignment="1">
      <alignment vertical="top" wrapText="1"/>
    </xf>
    <xf numFmtId="179" fontId="12" fillId="0" borderId="1" xfId="0" applyNumberFormat="1" applyFont="1" applyFill="1" applyBorder="1" applyAlignment="1">
      <alignment horizontal="center" wrapText="1"/>
    </xf>
    <xf numFmtId="164" fontId="11" fillId="0" borderId="8" xfId="0" applyNumberFormat="1" applyFont="1" applyFill="1" applyBorder="1" applyAlignment="1">
      <alignment horizontal="center" vertical="top" wrapText="1"/>
    </xf>
    <xf numFmtId="170" fontId="11" fillId="0" borderId="56" xfId="0" applyNumberFormat="1" applyFont="1" applyFill="1" applyBorder="1" applyAlignment="1">
      <alignment horizontal="center" vertical="top" wrapText="1"/>
    </xf>
    <xf numFmtId="168" fontId="11" fillId="0" borderId="11" xfId="0" applyNumberFormat="1" applyFont="1" applyFill="1" applyBorder="1" applyAlignment="1">
      <alignment horizontal="center" vertical="top" wrapText="1"/>
    </xf>
    <xf numFmtId="164" fontId="8" fillId="0" borderId="64" xfId="0" applyFont="1" applyFill="1" applyBorder="1" applyAlignment="1">
      <alignment horizontal="center" vertical="top" wrapText="1"/>
    </xf>
    <xf numFmtId="164" fontId="11" fillId="0" borderId="35" xfId="0" applyFont="1" applyFill="1" applyBorder="1" applyAlignment="1">
      <alignment horizontal="center" vertical="top" wrapText="1"/>
    </xf>
    <xf numFmtId="164" fontId="11" fillId="0" borderId="57" xfId="0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horizontal="center" vertical="center"/>
    </xf>
    <xf numFmtId="164" fontId="12" fillId="0" borderId="22" xfId="0" applyFont="1" applyFill="1" applyBorder="1" applyAlignment="1">
      <alignment horizontal="center" vertical="center"/>
    </xf>
    <xf numFmtId="170" fontId="12" fillId="0" borderId="22" xfId="0" applyNumberFormat="1" applyFont="1" applyFill="1" applyBorder="1" applyAlignment="1">
      <alignment horizontal="center" vertical="top" wrapText="1"/>
    </xf>
    <xf numFmtId="164" fontId="12" fillId="0" borderId="37" xfId="0" applyFont="1" applyFill="1" applyBorder="1" applyAlignment="1">
      <alignment horizontal="center" vertical="center"/>
    </xf>
    <xf numFmtId="170" fontId="12" fillId="0" borderId="42" xfId="0" applyNumberFormat="1" applyFont="1" applyFill="1" applyBorder="1" applyAlignment="1">
      <alignment horizontal="center" vertical="top" wrapText="1"/>
    </xf>
    <xf numFmtId="164" fontId="3" fillId="0" borderId="0" xfId="0" applyFont="1" applyFill="1" applyBorder="1" applyAlignment="1">
      <alignment vertical="top" wrapText="1"/>
    </xf>
    <xf numFmtId="164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164" fontId="7" fillId="0" borderId="55" xfId="0" applyFont="1" applyFill="1" applyBorder="1" applyAlignment="1">
      <alignment horizontal="center" wrapText="1"/>
    </xf>
    <xf numFmtId="164" fontId="12" fillId="0" borderId="42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27" fillId="0" borderId="42" xfId="0" applyFont="1" applyFill="1" applyBorder="1" applyAlignment="1">
      <alignment horizontal="center" vertical="center"/>
    </xf>
    <xf numFmtId="164" fontId="27" fillId="0" borderId="42" xfId="0" applyFont="1" applyFill="1" applyBorder="1" applyAlignment="1">
      <alignment horizontal="center" vertical="center" wrapText="1"/>
    </xf>
    <xf numFmtId="164" fontId="27" fillId="0" borderId="68" xfId="0" applyFont="1" applyFill="1" applyBorder="1" applyAlignment="1">
      <alignment horizontal="center" vertical="center"/>
    </xf>
    <xf numFmtId="164" fontId="12" fillId="0" borderId="67" xfId="0" applyFont="1" applyFill="1" applyBorder="1" applyAlignment="1">
      <alignment horizontal="center" vertical="center" wrapText="1"/>
    </xf>
    <xf numFmtId="164" fontId="11" fillId="0" borderId="69" xfId="0" applyFont="1" applyFill="1" applyBorder="1" applyAlignment="1">
      <alignment horizontal="center" vertical="top" wrapText="1"/>
    </xf>
    <xf numFmtId="164" fontId="11" fillId="0" borderId="61" xfId="0" applyFont="1" applyFill="1" applyBorder="1" applyAlignment="1">
      <alignment horizontal="center" vertical="top" wrapText="1"/>
    </xf>
    <xf numFmtId="164" fontId="11" fillId="0" borderId="67" xfId="0" applyFont="1" applyFill="1" applyBorder="1" applyAlignment="1">
      <alignment horizontal="center" vertical="top" wrapText="1"/>
    </xf>
    <xf numFmtId="164" fontId="11" fillId="0" borderId="42" xfId="0" applyFont="1" applyFill="1" applyBorder="1" applyAlignment="1">
      <alignment horizontal="center" vertical="top" wrapText="1"/>
    </xf>
    <xf numFmtId="164" fontId="12" fillId="0" borderId="42" xfId="0" applyFont="1" applyFill="1" applyBorder="1" applyAlignment="1">
      <alignment horizontal="left" vertical="top" wrapText="1"/>
    </xf>
    <xf numFmtId="164" fontId="12" fillId="0" borderId="60" xfId="0" applyFont="1" applyFill="1" applyBorder="1" applyAlignment="1">
      <alignment horizontal="left" vertical="top" wrapText="1"/>
    </xf>
    <xf numFmtId="168" fontId="11" fillId="0" borderId="37" xfId="0" applyNumberFormat="1" applyFont="1" applyFill="1" applyBorder="1" applyAlignment="1">
      <alignment horizontal="center" vertical="top" wrapText="1"/>
    </xf>
    <xf numFmtId="164" fontId="31" fillId="0" borderId="5" xfId="0" applyFont="1" applyFill="1" applyBorder="1" applyAlignment="1">
      <alignment horizontal="center" vertical="top" wrapText="1"/>
    </xf>
    <xf numFmtId="166" fontId="31" fillId="0" borderId="5" xfId="15" applyFont="1" applyFill="1" applyBorder="1" applyAlignment="1" applyProtection="1">
      <alignment vertical="center" wrapText="1"/>
      <protection/>
    </xf>
    <xf numFmtId="166" fontId="5" fillId="0" borderId="5" xfId="15" applyFont="1" applyFill="1" applyBorder="1" applyAlignment="1" applyProtection="1">
      <alignment vertical="center" wrapText="1"/>
      <protection/>
    </xf>
    <xf numFmtId="164" fontId="11" fillId="0" borderId="39" xfId="0" applyFont="1" applyFill="1" applyBorder="1" applyAlignment="1">
      <alignment horizontal="center" vertical="top" wrapText="1"/>
    </xf>
    <xf numFmtId="164" fontId="11" fillId="0" borderId="40" xfId="0" applyFont="1" applyFill="1" applyBorder="1" applyAlignment="1">
      <alignment horizontal="center" vertical="top" wrapText="1"/>
    </xf>
    <xf numFmtId="164" fontId="31" fillId="0" borderId="1" xfId="0" applyFont="1" applyFill="1" applyBorder="1" applyAlignment="1">
      <alignment horizontal="center" vertical="top" wrapText="1"/>
    </xf>
    <xf numFmtId="166" fontId="31" fillId="0" borderId="1" xfId="15" applyFont="1" applyFill="1" applyBorder="1" applyAlignment="1" applyProtection="1">
      <alignment vertical="center" wrapText="1"/>
      <protection/>
    </xf>
    <xf numFmtId="166" fontId="5" fillId="0" borderId="1" xfId="15" applyFont="1" applyFill="1" applyBorder="1" applyAlignment="1" applyProtection="1">
      <alignment vertical="center" wrapText="1"/>
      <protection/>
    </xf>
    <xf numFmtId="187" fontId="31" fillId="0" borderId="1" xfId="15" applyNumberFormat="1" applyFont="1" applyFill="1" applyBorder="1" applyAlignment="1" applyProtection="1">
      <alignment vertical="center" wrapText="1"/>
      <protection/>
    </xf>
    <xf numFmtId="187" fontId="5" fillId="0" borderId="1" xfId="15" applyNumberFormat="1" applyFont="1" applyFill="1" applyBorder="1" applyAlignment="1" applyProtection="1">
      <alignment vertical="center" wrapText="1"/>
      <protection/>
    </xf>
    <xf numFmtId="164" fontId="31" fillId="0" borderId="35" xfId="0" applyFont="1" applyFill="1" applyBorder="1" applyAlignment="1">
      <alignment horizontal="center" vertical="top" wrapText="1"/>
    </xf>
    <xf numFmtId="187" fontId="31" fillId="0" borderId="35" xfId="15" applyNumberFormat="1" applyFont="1" applyFill="1" applyBorder="1" applyAlignment="1" applyProtection="1">
      <alignment vertical="center" wrapText="1"/>
      <protection/>
    </xf>
    <xf numFmtId="187" fontId="5" fillId="0" borderId="35" xfId="15" applyNumberFormat="1" applyFont="1" applyFill="1" applyBorder="1" applyAlignment="1" applyProtection="1">
      <alignment vertical="center" wrapText="1"/>
      <protection/>
    </xf>
    <xf numFmtId="166" fontId="5" fillId="0" borderId="22" xfId="15" applyFont="1" applyFill="1" applyBorder="1" applyAlignment="1" applyProtection="1">
      <alignment vertical="center" wrapText="1"/>
      <protection/>
    </xf>
    <xf numFmtId="166" fontId="5" fillId="0" borderId="35" xfId="15" applyFont="1" applyFill="1" applyBorder="1" applyAlignment="1" applyProtection="1">
      <alignment vertical="center" wrapText="1"/>
      <protection/>
    </xf>
    <xf numFmtId="168" fontId="8" fillId="0" borderId="69" xfId="0" applyNumberFormat="1" applyFont="1" applyFill="1" applyBorder="1" applyAlignment="1">
      <alignment horizontal="center" vertical="center" wrapText="1"/>
    </xf>
    <xf numFmtId="164" fontId="31" fillId="0" borderId="0" xfId="0" applyFont="1" applyFill="1" applyAlignment="1">
      <alignment/>
    </xf>
    <xf numFmtId="168" fontId="11" fillId="0" borderId="0" xfId="0" applyNumberFormat="1" applyFont="1" applyFill="1" applyBorder="1" applyAlignment="1">
      <alignment vertical="top" wrapText="1"/>
    </xf>
    <xf numFmtId="164" fontId="12" fillId="0" borderId="69" xfId="0" applyFont="1" applyFill="1" applyBorder="1" applyAlignment="1">
      <alignment horizontal="left" vertical="top" wrapText="1"/>
    </xf>
    <xf numFmtId="168" fontId="11" fillId="0" borderId="42" xfId="0" applyNumberFormat="1" applyFont="1" applyFill="1" applyBorder="1" applyAlignment="1">
      <alignment horizontal="center" vertical="top" wrapText="1"/>
    </xf>
    <xf numFmtId="164" fontId="5" fillId="0" borderId="45" xfId="0" applyFont="1" applyFill="1" applyBorder="1" applyAlignment="1">
      <alignment horizontal="center" vertical="top" wrapText="1"/>
    </xf>
    <xf numFmtId="164" fontId="31" fillId="0" borderId="45" xfId="0" applyFont="1" applyFill="1" applyBorder="1" applyAlignment="1">
      <alignment horizontal="center" vertical="center" wrapText="1"/>
    </xf>
    <xf numFmtId="172" fontId="15" fillId="0" borderId="45" xfId="0" applyNumberFormat="1" applyFont="1" applyFill="1" applyBorder="1" applyAlignment="1">
      <alignment horizontal="center" vertical="center" wrapText="1"/>
    </xf>
    <xf numFmtId="179" fontId="5" fillId="0" borderId="45" xfId="0" applyNumberFormat="1" applyFont="1" applyFill="1" applyBorder="1" applyAlignment="1">
      <alignment horizontal="center" vertical="center" wrapText="1"/>
    </xf>
    <xf numFmtId="172" fontId="5" fillId="0" borderId="45" xfId="0" applyNumberFormat="1" applyFont="1" applyFill="1" applyBorder="1" applyAlignment="1">
      <alignment horizontal="center" vertical="center" wrapText="1"/>
    </xf>
    <xf numFmtId="172" fontId="5" fillId="0" borderId="52" xfId="0" applyNumberFormat="1" applyFont="1" applyFill="1" applyBorder="1" applyAlignment="1">
      <alignment horizontal="center" vertical="center" wrapText="1"/>
    </xf>
    <xf numFmtId="172" fontId="5" fillId="0" borderId="42" xfId="0" applyNumberFormat="1" applyFont="1" applyFill="1" applyBorder="1" applyAlignment="1">
      <alignment horizontal="center" vertical="center" wrapText="1"/>
    </xf>
    <xf numFmtId="164" fontId="11" fillId="0" borderId="67" xfId="0" applyFont="1" applyFill="1" applyBorder="1" applyAlignment="1">
      <alignment horizontal="center" vertical="center" wrapText="1"/>
    </xf>
    <xf numFmtId="164" fontId="11" fillId="0" borderId="42" xfId="0" applyFont="1" applyFill="1" applyBorder="1" applyAlignment="1">
      <alignment horizontal="center" vertical="center" wrapText="1"/>
    </xf>
    <xf numFmtId="164" fontId="31" fillId="0" borderId="78" xfId="0" applyFont="1" applyFill="1" applyBorder="1" applyAlignment="1">
      <alignment horizontal="center" vertical="center" wrapText="1"/>
    </xf>
    <xf numFmtId="187" fontId="15" fillId="0" borderId="45" xfId="15" applyNumberFormat="1" applyFont="1" applyFill="1" applyBorder="1" applyAlignment="1" applyProtection="1">
      <alignment horizontal="center" vertical="center" wrapText="1"/>
      <protection/>
    </xf>
    <xf numFmtId="187" fontId="5" fillId="0" borderId="78" xfId="15" applyNumberFormat="1" applyFont="1" applyFill="1" applyBorder="1" applyAlignment="1" applyProtection="1">
      <alignment horizontal="center" vertical="center" wrapText="1"/>
      <protection/>
    </xf>
    <xf numFmtId="172" fontId="4" fillId="0" borderId="78" xfId="15" applyNumberFormat="1" applyFont="1" applyFill="1" applyBorder="1" applyAlignment="1" applyProtection="1">
      <alignment horizontal="center" vertical="center" wrapText="1"/>
      <protection/>
    </xf>
    <xf numFmtId="179" fontId="4" fillId="0" borderId="78" xfId="0" applyNumberFormat="1" applyFont="1" applyFill="1" applyBorder="1" applyAlignment="1">
      <alignment horizontal="center" vertical="center" wrapText="1"/>
    </xf>
    <xf numFmtId="172" fontId="4" fillId="0" borderId="78" xfId="0" applyNumberFormat="1" applyFont="1" applyFill="1" applyBorder="1" applyAlignment="1">
      <alignment horizontal="center" vertical="center" wrapText="1"/>
    </xf>
    <xf numFmtId="172" fontId="4" fillId="0" borderId="42" xfId="0" applyNumberFormat="1" applyFont="1" applyFill="1" applyBorder="1" applyAlignment="1">
      <alignment horizontal="center" vertical="center" wrapText="1"/>
    </xf>
    <xf numFmtId="171" fontId="15" fillId="0" borderId="45" xfId="15" applyNumberFormat="1" applyFont="1" applyFill="1" applyBorder="1" applyAlignment="1" applyProtection="1">
      <alignment horizontal="center" vertical="center" wrapText="1"/>
      <protection/>
    </xf>
    <xf numFmtId="171" fontId="5" fillId="0" borderId="78" xfId="15" applyNumberFormat="1" applyFont="1" applyFill="1" applyBorder="1" applyAlignment="1" applyProtection="1">
      <alignment horizontal="center" vertical="center" wrapText="1"/>
      <protection/>
    </xf>
    <xf numFmtId="172" fontId="4" fillId="0" borderId="24" xfId="0" applyNumberFormat="1" applyFont="1" applyFill="1" applyBorder="1" applyAlignment="1">
      <alignment horizontal="center" vertical="center" wrapText="1"/>
    </xf>
    <xf numFmtId="171" fontId="4" fillId="0" borderId="78" xfId="15" applyNumberFormat="1" applyFont="1" applyFill="1" applyBorder="1" applyAlignment="1" applyProtection="1">
      <alignment horizontal="center" vertical="center" wrapText="1"/>
      <protection/>
    </xf>
    <xf numFmtId="172" fontId="4" fillId="0" borderId="45" xfId="0" applyNumberFormat="1" applyFont="1" applyFill="1" applyBorder="1" applyAlignment="1">
      <alignment horizontal="center" vertical="center" wrapText="1"/>
    </xf>
    <xf numFmtId="171" fontId="15" fillId="0" borderId="78" xfId="15" applyNumberFormat="1" applyFont="1" applyFill="1" applyBorder="1" applyAlignment="1" applyProtection="1">
      <alignment horizontal="center" vertical="center" wrapText="1"/>
      <protection/>
    </xf>
    <xf numFmtId="172" fontId="4" fillId="0" borderId="68" xfId="0" applyNumberFormat="1" applyFont="1" applyFill="1" applyBorder="1" applyAlignment="1">
      <alignment horizontal="center" vertical="center" wrapText="1"/>
    </xf>
    <xf numFmtId="164" fontId="31" fillId="0" borderId="35" xfId="0" applyFont="1" applyFill="1" applyBorder="1" applyAlignment="1">
      <alignment horizontal="center" vertical="center" wrapText="1"/>
    </xf>
    <xf numFmtId="171" fontId="15" fillId="0" borderId="37" xfId="15" applyNumberFormat="1" applyFont="1" applyFill="1" applyBorder="1" applyAlignment="1" applyProtection="1">
      <alignment horizontal="center" vertical="center" wrapText="1"/>
      <protection/>
    </xf>
    <xf numFmtId="171" fontId="5" fillId="0" borderId="35" xfId="15" applyNumberFormat="1" applyFont="1" applyFill="1" applyBorder="1" applyAlignment="1" applyProtection="1">
      <alignment horizontal="center" vertical="center" wrapText="1"/>
      <protection/>
    </xf>
    <xf numFmtId="172" fontId="4" fillId="0" borderId="35" xfId="15" applyNumberFormat="1" applyFont="1" applyFill="1" applyBorder="1" applyAlignment="1" applyProtection="1">
      <alignment horizontal="center" vertical="center" wrapText="1"/>
      <protection/>
    </xf>
    <xf numFmtId="179" fontId="4" fillId="0" borderId="35" xfId="0" applyNumberFormat="1" applyFont="1" applyFill="1" applyBorder="1" applyAlignment="1">
      <alignment horizontal="center" vertical="center" wrapText="1"/>
    </xf>
    <xf numFmtId="172" fontId="4" fillId="0" borderId="35" xfId="0" applyNumberFormat="1" applyFont="1" applyFill="1" applyBorder="1" applyAlignment="1">
      <alignment horizontal="center" vertical="center" wrapText="1"/>
    </xf>
    <xf numFmtId="172" fontId="4" fillId="0" borderId="57" xfId="0" applyNumberFormat="1" applyFont="1" applyFill="1" applyBorder="1" applyAlignment="1">
      <alignment horizontal="center" vertical="center" wrapText="1"/>
    </xf>
    <xf numFmtId="164" fontId="31" fillId="0" borderId="22" xfId="0" applyFont="1" applyFill="1" applyBorder="1" applyAlignment="1">
      <alignment horizontal="center" vertical="center" wrapText="1"/>
    </xf>
    <xf numFmtId="171" fontId="15" fillId="0" borderId="51" xfId="15" applyNumberFormat="1" applyFont="1" applyFill="1" applyBorder="1" applyAlignment="1" applyProtection="1">
      <alignment horizontal="center" vertical="center" wrapText="1"/>
      <protection/>
    </xf>
    <xf numFmtId="171" fontId="5" fillId="0" borderId="22" xfId="15" applyNumberFormat="1" applyFont="1" applyFill="1" applyBorder="1" applyAlignment="1" applyProtection="1">
      <alignment horizontal="center" vertical="center" wrapText="1"/>
      <protection/>
    </xf>
    <xf numFmtId="172" fontId="4" fillId="0" borderId="22" xfId="15" applyNumberFormat="1" applyFont="1" applyFill="1" applyBorder="1" applyAlignment="1" applyProtection="1">
      <alignment horizontal="center" vertical="center" wrapText="1"/>
      <protection/>
    </xf>
    <xf numFmtId="179" fontId="4" fillId="0" borderId="22" xfId="0" applyNumberFormat="1" applyFont="1" applyFill="1" applyBorder="1" applyAlignment="1">
      <alignment horizontal="center" vertical="center" wrapText="1"/>
    </xf>
    <xf numFmtId="172" fontId="4" fillId="0" borderId="22" xfId="0" applyNumberFormat="1" applyFont="1" applyFill="1" applyBorder="1" applyAlignment="1">
      <alignment horizontal="center" vertical="center" wrapText="1"/>
    </xf>
    <xf numFmtId="172" fontId="4" fillId="0" borderId="63" xfId="0" applyNumberFormat="1" applyFont="1" applyFill="1" applyBorder="1" applyAlignment="1">
      <alignment horizontal="center" vertical="center" wrapText="1"/>
    </xf>
    <xf numFmtId="164" fontId="32" fillId="0" borderId="0" xfId="0" applyFont="1" applyFill="1" applyAlignment="1">
      <alignment/>
    </xf>
    <xf numFmtId="164" fontId="6" fillId="0" borderId="45" xfId="0" applyFont="1" applyFill="1" applyBorder="1" applyAlignment="1">
      <alignment horizontal="center" vertical="top" wrapText="1"/>
    </xf>
    <xf numFmtId="187" fontId="8" fillId="0" borderId="39" xfId="15" applyNumberFormat="1" applyFont="1" applyFill="1" applyBorder="1" applyAlignment="1" applyProtection="1">
      <alignment horizontal="center" vertical="center" wrapText="1"/>
      <protection/>
    </xf>
    <xf numFmtId="187" fontId="8" fillId="0" borderId="39" xfId="15" applyNumberFormat="1" applyFont="1" applyFill="1" applyBorder="1" applyAlignment="1" applyProtection="1">
      <alignment vertical="center" wrapText="1"/>
      <protection/>
    </xf>
    <xf numFmtId="187" fontId="8" fillId="0" borderId="40" xfId="15" applyNumberFormat="1" applyFont="1" applyFill="1" applyBorder="1" applyAlignment="1" applyProtection="1">
      <alignment vertical="center" wrapText="1"/>
      <protection/>
    </xf>
    <xf numFmtId="164" fontId="16" fillId="0" borderId="67" xfId="0" applyFont="1" applyFill="1" applyBorder="1" applyAlignment="1">
      <alignment horizontal="center"/>
    </xf>
    <xf numFmtId="164" fontId="4" fillId="0" borderId="42" xfId="0" applyFont="1" applyFill="1" applyBorder="1" applyAlignment="1">
      <alignment horizontal="center" vertical="top" wrapText="1"/>
    </xf>
    <xf numFmtId="164" fontId="16" fillId="0" borderId="0" xfId="0" applyFont="1" applyFill="1" applyAlignment="1">
      <alignment/>
    </xf>
    <xf numFmtId="164" fontId="7" fillId="0" borderId="48" xfId="0" applyFont="1" applyFill="1" applyBorder="1" applyAlignment="1">
      <alignment vertical="top" wrapText="1"/>
    </xf>
    <xf numFmtId="187" fontId="7" fillId="0" borderId="23" xfId="15" applyNumberFormat="1" applyFont="1" applyFill="1" applyBorder="1" applyAlignment="1" applyProtection="1">
      <alignment horizontal="center" vertical="center" wrapText="1"/>
      <protection/>
    </xf>
    <xf numFmtId="164" fontId="4" fillId="0" borderId="23" xfId="0" applyFont="1" applyFill="1" applyBorder="1" applyAlignment="1">
      <alignment horizontal="center" vertical="center" wrapText="1"/>
    </xf>
    <xf numFmtId="164" fontId="7" fillId="0" borderId="82" xfId="0" applyFont="1" applyFill="1" applyBorder="1" applyAlignment="1">
      <alignment horizontal="center" vertical="center" wrapText="1"/>
    </xf>
    <xf numFmtId="164" fontId="7" fillId="0" borderId="24" xfId="0" applyFont="1" applyFill="1" applyBorder="1" applyAlignment="1">
      <alignment horizontal="center" vertical="center" wrapText="1"/>
    </xf>
    <xf numFmtId="187" fontId="7" fillId="0" borderId="5" xfId="15" applyNumberFormat="1" applyFont="1" applyFill="1" applyBorder="1" applyAlignment="1" applyProtection="1">
      <alignment horizontal="center" vertical="center" wrapText="1"/>
      <protection/>
    </xf>
    <xf numFmtId="172" fontId="7" fillId="0" borderId="46" xfId="15" applyNumberFormat="1" applyFont="1" applyFill="1" applyBorder="1" applyAlignment="1" applyProtection="1">
      <alignment horizontal="center" vertical="center" wrapText="1"/>
      <protection/>
    </xf>
    <xf numFmtId="179" fontId="7" fillId="0" borderId="5" xfId="0" applyNumberFormat="1" applyFont="1" applyFill="1" applyBorder="1" applyAlignment="1">
      <alignment horizontal="center" vertical="center" wrapText="1"/>
    </xf>
    <xf numFmtId="179" fontId="7" fillId="0" borderId="66" xfId="0" applyNumberFormat="1" applyFont="1" applyFill="1" applyBorder="1" applyAlignment="1">
      <alignment horizontal="center" vertical="center" wrapText="1"/>
    </xf>
    <xf numFmtId="187" fontId="7" fillId="0" borderId="1" xfId="15" applyNumberFormat="1" applyFont="1" applyFill="1" applyBorder="1" applyAlignment="1" applyProtection="1">
      <alignment horizontal="center" vertical="center" wrapText="1"/>
      <protection/>
    </xf>
    <xf numFmtId="172" fontId="7" fillId="0" borderId="1" xfId="15" applyNumberFormat="1" applyFont="1" applyFill="1" applyBorder="1" applyAlignment="1" applyProtection="1">
      <alignment horizontal="center" vertical="center" wrapText="1"/>
      <protection/>
    </xf>
    <xf numFmtId="179" fontId="7" fillId="0" borderId="1" xfId="0" applyNumberFormat="1" applyFont="1" applyFill="1" applyBorder="1" applyAlignment="1">
      <alignment horizontal="center" vertical="center" wrapText="1"/>
    </xf>
    <xf numFmtId="179" fontId="7" fillId="0" borderId="56" xfId="0" applyNumberFormat="1" applyFont="1" applyFill="1" applyBorder="1" applyAlignment="1">
      <alignment horizontal="center" vertical="center" wrapText="1"/>
    </xf>
    <xf numFmtId="172" fontId="7" fillId="0" borderId="56" xfId="15" applyNumberFormat="1" applyFont="1" applyFill="1" applyBorder="1" applyAlignment="1" applyProtection="1">
      <alignment horizontal="center" vertical="center" wrapText="1"/>
      <protection/>
    </xf>
    <xf numFmtId="187" fontId="7" fillId="0" borderId="22" xfId="15" applyNumberFormat="1" applyFont="1" applyFill="1" applyBorder="1" applyAlignment="1" applyProtection="1">
      <alignment horizontal="center" vertical="center" wrapText="1"/>
      <protection/>
    </xf>
    <xf numFmtId="164" fontId="7" fillId="0" borderId="64" xfId="0" applyFont="1" applyFill="1" applyBorder="1" applyAlignment="1">
      <alignment horizontal="center" vertical="top" wrapText="1"/>
    </xf>
    <xf numFmtId="187" fontId="7" fillId="0" borderId="35" xfId="15" applyNumberFormat="1" applyFont="1" applyFill="1" applyBorder="1" applyAlignment="1" applyProtection="1">
      <alignment horizontal="center" vertical="center" wrapText="1"/>
      <protection/>
    </xf>
    <xf numFmtId="164" fontId="11" fillId="0" borderId="0" xfId="0" applyFont="1" applyFill="1" applyBorder="1" applyAlignment="1">
      <alignment vertical="top" wrapText="1"/>
    </xf>
    <xf numFmtId="164" fontId="8" fillId="0" borderId="0" xfId="0" applyFont="1" applyFill="1" applyBorder="1" applyAlignment="1">
      <alignment horizontal="center" vertical="top" wrapText="1"/>
    </xf>
    <xf numFmtId="164" fontId="12" fillId="0" borderId="0" xfId="0" applyFont="1" applyFill="1" applyBorder="1" applyAlignment="1">
      <alignment horizontal="center" vertical="top" wrapText="1"/>
    </xf>
    <xf numFmtId="179" fontId="12" fillId="0" borderId="0" xfId="0" applyNumberFormat="1" applyFont="1" applyFill="1" applyBorder="1" applyAlignment="1">
      <alignment horizontal="center" vertical="top" wrapText="1"/>
    </xf>
    <xf numFmtId="164" fontId="11" fillId="0" borderId="0" xfId="0" applyFont="1" applyFill="1" applyBorder="1" applyAlignment="1">
      <alignment horizontal="center" vertical="top" wrapText="1"/>
    </xf>
    <xf numFmtId="164" fontId="18" fillId="0" borderId="0" xfId="0" applyFont="1" applyFill="1" applyAlignment="1">
      <alignment/>
    </xf>
    <xf numFmtId="179" fontId="8" fillId="0" borderId="0" xfId="0" applyNumberFormat="1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xl34" xfId="20"/>
  </cellStyles>
  <dxfs count="1">
    <dxf>
      <font>
        <b val="0"/>
        <color rgb="FF800000"/>
      </font>
      <fill>
        <patternFill patternType="solid">
          <fgColor rgb="FFC0C0C0"/>
          <bgColor rgb="FFCCCC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20"/>
  <sheetViews>
    <sheetView tabSelected="1" view="pageBreakPreview" zoomScale="65" zoomScaleSheetLayoutView="65" workbookViewId="0" topLeftCell="A1">
      <selection activeCell="K2" sqref="K2"/>
    </sheetView>
  </sheetViews>
  <sheetFormatPr defaultColWidth="9.00390625" defaultRowHeight="12.75"/>
  <cols>
    <col min="1" max="1" width="11.375" style="1" customWidth="1"/>
    <col min="2" max="2" width="49.125" style="2" customWidth="1"/>
    <col min="3" max="3" width="21.375" style="2" customWidth="1"/>
    <col min="4" max="4" width="13.50390625" style="2" customWidth="1"/>
    <col min="5" max="5" width="24.00390625" style="2" customWidth="1"/>
    <col min="6" max="6" width="24.875" style="2" customWidth="1"/>
    <col min="7" max="7" width="22.375" style="2" customWidth="1"/>
    <col min="8" max="8" width="21.125" style="2" customWidth="1"/>
    <col min="9" max="9" width="21.50390625" style="2" customWidth="1"/>
    <col min="10" max="10" width="31.50390625" style="3" customWidth="1"/>
    <col min="11" max="11" width="21.375" style="2" customWidth="1"/>
    <col min="12" max="12" width="28.125" style="4" customWidth="1"/>
    <col min="13" max="13" width="62.125" style="5" customWidth="1"/>
    <col min="14" max="14" width="9.625" style="5" customWidth="1"/>
    <col min="15" max="15" width="57.50390625" style="2" customWidth="1"/>
    <col min="16" max="17" width="9.125" style="2" customWidth="1"/>
    <col min="18" max="18" width="27.875" style="2" customWidth="1"/>
    <col min="19" max="19" width="31.625" style="2" customWidth="1"/>
    <col min="20" max="20" width="29.125" style="2" customWidth="1"/>
    <col min="21" max="21" width="25.625" style="2" customWidth="1"/>
    <col min="22" max="22" width="34.50390625" style="2" customWidth="1"/>
    <col min="23" max="16384" width="9.125" style="2" customWidth="1"/>
  </cols>
  <sheetData>
    <row r="1" spans="11:13" ht="21.75">
      <c r="K1" s="6"/>
      <c r="M1" s="7"/>
    </row>
    <row r="2" spans="11:13" ht="21.75">
      <c r="K2" s="6"/>
      <c r="M2" s="7"/>
    </row>
    <row r="3" spans="10:14" ht="27" customHeight="1">
      <c r="J3" s="8" t="s">
        <v>0</v>
      </c>
      <c r="K3" s="8"/>
      <c r="L3" s="8"/>
      <c r="M3" s="8"/>
      <c r="N3" s="9"/>
    </row>
    <row r="4" spans="10:14" ht="36" customHeight="1">
      <c r="J4" s="10" t="s">
        <v>1</v>
      </c>
      <c r="K4" s="10"/>
      <c r="L4" s="10"/>
      <c r="M4" s="10"/>
      <c r="N4" s="11"/>
    </row>
    <row r="5" spans="2:12" ht="60.75" customHeight="1">
      <c r="B5" s="12" t="s">
        <v>2</v>
      </c>
      <c r="C5" s="12"/>
      <c r="D5" s="12"/>
      <c r="E5" s="12"/>
      <c r="F5" s="12"/>
      <c r="G5" s="12"/>
      <c r="H5" s="12"/>
      <c r="I5" s="12"/>
      <c r="J5" s="12"/>
      <c r="K5" s="12"/>
      <c r="L5" s="12"/>
    </row>
    <row r="6" spans="10:13" ht="21">
      <c r="J6" s="3" t="s">
        <v>3</v>
      </c>
      <c r="M6" s="13"/>
    </row>
    <row r="7" spans="1:14" ht="28.5" customHeight="1">
      <c r="A7" s="14"/>
      <c r="B7" s="15" t="s">
        <v>4</v>
      </c>
      <c r="C7" s="15"/>
      <c r="D7" s="16" t="s">
        <v>5</v>
      </c>
      <c r="E7" s="15" t="s">
        <v>6</v>
      </c>
      <c r="F7" s="15" t="s">
        <v>7</v>
      </c>
      <c r="G7" s="15"/>
      <c r="H7" s="15"/>
      <c r="I7" s="15"/>
      <c r="J7" s="15"/>
      <c r="K7" s="15" t="s">
        <v>8</v>
      </c>
      <c r="L7" s="17" t="s">
        <v>9</v>
      </c>
      <c r="M7" s="18" t="s">
        <v>10</v>
      </c>
      <c r="N7" s="19"/>
    </row>
    <row r="8" spans="1:14" ht="28.5" customHeight="1">
      <c r="A8" s="14"/>
      <c r="B8" s="15"/>
      <c r="C8" s="15"/>
      <c r="D8" s="16"/>
      <c r="E8" s="15"/>
      <c r="F8" s="20" t="s">
        <v>11</v>
      </c>
      <c r="G8" s="18" t="s">
        <v>12</v>
      </c>
      <c r="H8" s="18"/>
      <c r="I8" s="18"/>
      <c r="J8" s="18"/>
      <c r="K8" s="15"/>
      <c r="L8" s="17"/>
      <c r="M8" s="18"/>
      <c r="N8" s="19"/>
    </row>
    <row r="9" spans="1:14" ht="28.5" customHeight="1">
      <c r="A9" s="14"/>
      <c r="B9" s="15"/>
      <c r="C9" s="15"/>
      <c r="D9" s="16"/>
      <c r="E9" s="15"/>
      <c r="F9" s="20"/>
      <c r="G9" s="18" t="s">
        <v>13</v>
      </c>
      <c r="H9" s="18"/>
      <c r="I9" s="18"/>
      <c r="J9" s="21" t="s">
        <v>14</v>
      </c>
      <c r="K9" s="15"/>
      <c r="L9" s="17"/>
      <c r="M9" s="18"/>
      <c r="N9" s="19"/>
    </row>
    <row r="10" spans="1:14" ht="28.5" customHeight="1">
      <c r="A10" s="14"/>
      <c r="B10" s="15"/>
      <c r="C10" s="15"/>
      <c r="D10" s="16"/>
      <c r="E10" s="15"/>
      <c r="F10" s="20"/>
      <c r="G10" s="18" t="s">
        <v>15</v>
      </c>
      <c r="H10" s="18" t="s">
        <v>16</v>
      </c>
      <c r="I10" s="18"/>
      <c r="J10" s="21"/>
      <c r="K10" s="15"/>
      <c r="L10" s="17"/>
      <c r="M10" s="18"/>
      <c r="N10" s="19"/>
    </row>
    <row r="11" spans="1:14" ht="73.5" customHeight="1">
      <c r="A11" s="14"/>
      <c r="B11" s="15"/>
      <c r="C11" s="15"/>
      <c r="D11" s="16"/>
      <c r="E11" s="15"/>
      <c r="F11" s="20"/>
      <c r="G11" s="18"/>
      <c r="H11" s="18" t="s">
        <v>17</v>
      </c>
      <c r="I11" s="18" t="s">
        <v>18</v>
      </c>
      <c r="J11" s="21"/>
      <c r="K11" s="15"/>
      <c r="L11" s="17"/>
      <c r="M11" s="18"/>
      <c r="N11" s="19"/>
    </row>
    <row r="12" spans="1:14" s="6" customFormat="1" ht="20.25" customHeight="1">
      <c r="A12" s="22">
        <v>1</v>
      </c>
      <c r="B12" s="23">
        <v>2</v>
      </c>
      <c r="C12" s="23"/>
      <c r="D12" s="23">
        <v>3</v>
      </c>
      <c r="E12" s="23">
        <v>4</v>
      </c>
      <c r="F12" s="23">
        <v>5</v>
      </c>
      <c r="G12" s="23">
        <v>6</v>
      </c>
      <c r="H12" s="23">
        <v>7</v>
      </c>
      <c r="I12" s="23">
        <v>8</v>
      </c>
      <c r="J12" s="24">
        <v>9</v>
      </c>
      <c r="K12" s="23">
        <v>10</v>
      </c>
      <c r="L12" s="23">
        <v>11</v>
      </c>
      <c r="M12" s="25">
        <v>12</v>
      </c>
      <c r="N12" s="26"/>
    </row>
    <row r="13" spans="1:14" ht="24" customHeight="1">
      <c r="A13" s="27" t="s">
        <v>19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8"/>
    </row>
    <row r="14" spans="1:14" s="4" customFormat="1" ht="51" customHeight="1">
      <c r="A14" s="29" t="s">
        <v>20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/>
    </row>
    <row r="15" spans="1:14" s="6" customFormat="1" ht="95.25" customHeight="1">
      <c r="A15" s="31" t="s">
        <v>21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2"/>
    </row>
    <row r="16" spans="1:14" s="6" customFormat="1" ht="2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4"/>
    </row>
    <row r="17" spans="1:14" s="6" customFormat="1" ht="42" customHeight="1">
      <c r="A17" s="35" t="s">
        <v>22</v>
      </c>
      <c r="B17" s="36" t="s">
        <v>23</v>
      </c>
      <c r="C17" s="37" t="s">
        <v>15</v>
      </c>
      <c r="D17" s="37">
        <v>2020</v>
      </c>
      <c r="E17" s="38">
        <f>E19+E20+E25+E26</f>
        <v>1128.3</v>
      </c>
      <c r="F17" s="38">
        <f>F19+F20+F25+F26</f>
        <v>0</v>
      </c>
      <c r="G17" s="38">
        <f>G19+G20+G25+G26</f>
        <v>1117</v>
      </c>
      <c r="H17" s="38">
        <f>H19+H20+H25+H26</f>
        <v>1094.7</v>
      </c>
      <c r="I17" s="38">
        <f>I19+I20+I25+I26</f>
        <v>22.3</v>
      </c>
      <c r="J17" s="39">
        <f>J19+J20+J25+J26</f>
        <v>11.299999999999997</v>
      </c>
      <c r="K17" s="38">
        <f>K19+K20+K25+K26</f>
        <v>0</v>
      </c>
      <c r="L17" s="40"/>
      <c r="M17" s="41" t="s">
        <v>24</v>
      </c>
      <c r="N17" s="42"/>
    </row>
    <row r="18" spans="1:14" s="6" customFormat="1" ht="34.5" customHeight="1">
      <c r="A18" s="35"/>
      <c r="B18" s="36"/>
      <c r="C18" s="37" t="s">
        <v>25</v>
      </c>
      <c r="D18" s="37">
        <v>2021</v>
      </c>
      <c r="E18" s="38">
        <f>E21+E22</f>
        <v>2084.7</v>
      </c>
      <c r="F18" s="38">
        <f>F21+F22</f>
        <v>0</v>
      </c>
      <c r="G18" s="38">
        <f>G21+G22</f>
        <v>2063.7999999999997</v>
      </c>
      <c r="H18" s="38">
        <f>H21+H22</f>
        <v>2063.7999999999997</v>
      </c>
      <c r="I18" s="38">
        <f>I21+I22</f>
        <v>0</v>
      </c>
      <c r="J18" s="39">
        <f>J21+J22</f>
        <v>20.9</v>
      </c>
      <c r="K18" s="38">
        <f>K21+K22</f>
        <v>0</v>
      </c>
      <c r="L18" s="43"/>
      <c r="M18" s="41"/>
      <c r="N18" s="42"/>
    </row>
    <row r="19" spans="1:14" s="6" customFormat="1" ht="45" customHeight="1">
      <c r="A19" s="35"/>
      <c r="B19" s="36"/>
      <c r="C19" s="44" t="s">
        <v>26</v>
      </c>
      <c r="D19" s="45">
        <v>2020</v>
      </c>
      <c r="E19" s="46">
        <f aca="true" t="shared" si="0" ref="E19:E26">F19+G19+J19+K19</f>
        <v>0</v>
      </c>
      <c r="F19" s="38"/>
      <c r="G19" s="46">
        <f aca="true" t="shared" si="1" ref="G19:G26">H19+I19</f>
        <v>0</v>
      </c>
      <c r="H19" s="46">
        <f>557-557</f>
        <v>0</v>
      </c>
      <c r="I19" s="46">
        <v>0</v>
      </c>
      <c r="J19" s="39">
        <f>83.33-83.33</f>
        <v>0</v>
      </c>
      <c r="K19" s="47">
        <v>0</v>
      </c>
      <c r="L19" s="48" t="s">
        <v>26</v>
      </c>
      <c r="M19" s="41"/>
      <c r="N19" s="42"/>
    </row>
    <row r="20" spans="1:14" s="6" customFormat="1" ht="30" customHeight="1">
      <c r="A20" s="35"/>
      <c r="B20" s="36"/>
      <c r="C20" s="49" t="s">
        <v>27</v>
      </c>
      <c r="D20" s="50">
        <v>2020</v>
      </c>
      <c r="E20" s="51">
        <f t="shared" si="0"/>
        <v>1128.3</v>
      </c>
      <c r="F20" s="52"/>
      <c r="G20" s="53">
        <f t="shared" si="1"/>
        <v>1117</v>
      </c>
      <c r="H20" s="53">
        <v>1094.7</v>
      </c>
      <c r="I20" s="53">
        <v>22.3</v>
      </c>
      <c r="J20" s="21">
        <f>83.678-72.378</f>
        <v>11.299999999999997</v>
      </c>
      <c r="K20" s="54">
        <v>0</v>
      </c>
      <c r="L20" s="48" t="s">
        <v>27</v>
      </c>
      <c r="M20" s="41"/>
      <c r="N20" s="42"/>
    </row>
    <row r="21" spans="1:14" s="6" customFormat="1" ht="28.5" customHeight="1">
      <c r="A21" s="35"/>
      <c r="B21" s="36"/>
      <c r="C21" s="49" t="s">
        <v>26</v>
      </c>
      <c r="D21" s="50">
        <v>2021</v>
      </c>
      <c r="E21" s="51">
        <f t="shared" si="0"/>
        <v>2084.7</v>
      </c>
      <c r="F21" s="52"/>
      <c r="G21" s="53">
        <f t="shared" si="1"/>
        <v>2063.7999999999997</v>
      </c>
      <c r="H21" s="53">
        <f>2084.7-20.9</f>
        <v>2063.7999999999997</v>
      </c>
      <c r="I21" s="53">
        <v>0</v>
      </c>
      <c r="J21" s="21">
        <v>20.9</v>
      </c>
      <c r="K21" s="54">
        <v>0</v>
      </c>
      <c r="L21" s="48" t="s">
        <v>26</v>
      </c>
      <c r="M21" s="41"/>
      <c r="N21" s="42"/>
    </row>
    <row r="22" spans="1:14" s="6" customFormat="1" ht="24.75" customHeight="1">
      <c r="A22" s="35"/>
      <c r="B22" s="36"/>
      <c r="C22" s="49" t="s">
        <v>27</v>
      </c>
      <c r="D22" s="50">
        <v>2021</v>
      </c>
      <c r="E22" s="51">
        <f t="shared" si="0"/>
        <v>0</v>
      </c>
      <c r="F22" s="52"/>
      <c r="G22" s="53">
        <f t="shared" si="1"/>
        <v>0</v>
      </c>
      <c r="H22" s="53">
        <f>565-565</f>
        <v>0</v>
      </c>
      <c r="I22" s="53">
        <v>0</v>
      </c>
      <c r="J22" s="21">
        <v>0</v>
      </c>
      <c r="K22" s="54">
        <v>0</v>
      </c>
      <c r="L22" s="48" t="s">
        <v>27</v>
      </c>
      <c r="M22" s="41"/>
      <c r="N22" s="42"/>
    </row>
    <row r="23" spans="1:14" s="6" customFormat="1" ht="30" customHeight="1">
      <c r="A23" s="35"/>
      <c r="B23" s="36"/>
      <c r="C23" s="49" t="s">
        <v>27</v>
      </c>
      <c r="D23" s="50">
        <v>2022</v>
      </c>
      <c r="E23" s="51">
        <f t="shared" si="0"/>
        <v>0</v>
      </c>
      <c r="F23" s="52"/>
      <c r="G23" s="53">
        <f t="shared" si="1"/>
        <v>0</v>
      </c>
      <c r="H23" s="53">
        <v>0</v>
      </c>
      <c r="I23" s="53">
        <v>0</v>
      </c>
      <c r="J23" s="21">
        <v>0</v>
      </c>
      <c r="K23" s="54">
        <v>0</v>
      </c>
      <c r="L23" s="55"/>
      <c r="M23" s="41"/>
      <c r="N23" s="42"/>
    </row>
    <row r="24" spans="1:14" s="6" customFormat="1" ht="27" customHeight="1">
      <c r="A24" s="35"/>
      <c r="B24" s="36"/>
      <c r="C24" s="49" t="s">
        <v>27</v>
      </c>
      <c r="D24" s="50">
        <v>2023</v>
      </c>
      <c r="E24" s="51">
        <f t="shared" si="0"/>
        <v>0</v>
      </c>
      <c r="F24" s="52"/>
      <c r="G24" s="53">
        <f t="shared" si="1"/>
        <v>0</v>
      </c>
      <c r="H24" s="53">
        <v>0</v>
      </c>
      <c r="I24" s="53">
        <v>0</v>
      </c>
      <c r="J24" s="21">
        <v>0</v>
      </c>
      <c r="K24" s="54">
        <v>0</v>
      </c>
      <c r="L24" s="55"/>
      <c r="M24" s="41"/>
      <c r="N24" s="42"/>
    </row>
    <row r="25" spans="1:14" s="6" customFormat="1" ht="43.5" customHeight="1">
      <c r="A25" s="35" t="s">
        <v>28</v>
      </c>
      <c r="B25" s="56" t="s">
        <v>29</v>
      </c>
      <c r="C25" s="49" t="s">
        <v>26</v>
      </c>
      <c r="D25" s="50">
        <v>2020</v>
      </c>
      <c r="E25" s="51">
        <f t="shared" si="0"/>
        <v>0</v>
      </c>
      <c r="F25" s="23"/>
      <c r="G25" s="53">
        <f t="shared" si="1"/>
        <v>0</v>
      </c>
      <c r="H25" s="53">
        <v>0</v>
      </c>
      <c r="I25" s="53">
        <v>0</v>
      </c>
      <c r="J25" s="21">
        <v>0</v>
      </c>
      <c r="K25" s="54">
        <v>0</v>
      </c>
      <c r="L25" s="48" t="s">
        <v>26</v>
      </c>
      <c r="M25" s="41"/>
      <c r="N25" s="42"/>
    </row>
    <row r="26" spans="1:14" s="6" customFormat="1" ht="220.5" customHeight="1">
      <c r="A26" s="35"/>
      <c r="B26" s="56"/>
      <c r="C26" s="49" t="s">
        <v>27</v>
      </c>
      <c r="D26" s="50">
        <v>2020</v>
      </c>
      <c r="E26" s="51">
        <f t="shared" si="0"/>
        <v>0</v>
      </c>
      <c r="F26" s="23"/>
      <c r="G26" s="53">
        <f t="shared" si="1"/>
        <v>0</v>
      </c>
      <c r="H26" s="53">
        <v>0</v>
      </c>
      <c r="I26" s="53">
        <v>0</v>
      </c>
      <c r="J26" s="21">
        <v>0</v>
      </c>
      <c r="K26" s="54">
        <v>0</v>
      </c>
      <c r="L26" s="48" t="s">
        <v>27</v>
      </c>
      <c r="M26" s="41"/>
      <c r="N26" s="42"/>
    </row>
    <row r="27" spans="1:14" s="6" customFormat="1" ht="30.75" customHeight="1">
      <c r="A27" s="35" t="s">
        <v>30</v>
      </c>
      <c r="B27" s="57" t="s">
        <v>31</v>
      </c>
      <c r="C27" s="58"/>
      <c r="D27" s="59">
        <v>2021</v>
      </c>
      <c r="E27" s="60">
        <f>E28</f>
        <v>919.54</v>
      </c>
      <c r="F27" s="61">
        <f>F28</f>
        <v>0</v>
      </c>
      <c r="G27" s="61">
        <f>G28</f>
        <v>800</v>
      </c>
      <c r="H27" s="61">
        <f>H28</f>
        <v>784</v>
      </c>
      <c r="I27" s="61">
        <f>I28</f>
        <v>16</v>
      </c>
      <c r="J27" s="62">
        <f>J28</f>
        <v>119.54</v>
      </c>
      <c r="K27" s="63">
        <f>K28</f>
        <v>0</v>
      </c>
      <c r="L27" s="64"/>
      <c r="M27" s="49" t="s">
        <v>32</v>
      </c>
      <c r="N27" s="65"/>
    </row>
    <row r="28" spans="1:14" s="6" customFormat="1" ht="33" customHeight="1">
      <c r="A28" s="35"/>
      <c r="B28" s="57"/>
      <c r="C28" s="49" t="s">
        <v>27</v>
      </c>
      <c r="D28" s="59">
        <v>2021</v>
      </c>
      <c r="E28" s="51">
        <f>F28+G28+J28+K28</f>
        <v>919.54</v>
      </c>
      <c r="F28" s="52"/>
      <c r="G28" s="53">
        <f>H28+I28</f>
        <v>800</v>
      </c>
      <c r="H28" s="53">
        <v>784</v>
      </c>
      <c r="I28" s="53">
        <v>16</v>
      </c>
      <c r="J28" s="21">
        <v>119.54</v>
      </c>
      <c r="K28" s="66">
        <v>0</v>
      </c>
      <c r="L28" s="48" t="s">
        <v>27</v>
      </c>
      <c r="M28" s="49"/>
      <c r="N28" s="65"/>
    </row>
    <row r="29" spans="1:14" s="6" customFormat="1" ht="33" customHeight="1">
      <c r="A29" s="35"/>
      <c r="B29" s="57"/>
      <c r="C29" s="58"/>
      <c r="D29" s="59">
        <v>2022</v>
      </c>
      <c r="E29" s="67">
        <f>E30</f>
        <v>836.33</v>
      </c>
      <c r="F29" s="52">
        <f>F30</f>
        <v>0</v>
      </c>
      <c r="G29" s="52">
        <f>G30</f>
        <v>727.6</v>
      </c>
      <c r="H29" s="52">
        <f>H30</f>
        <v>713</v>
      </c>
      <c r="I29" s="52">
        <f>I30</f>
        <v>14.6</v>
      </c>
      <c r="J29" s="21">
        <f>J30</f>
        <v>108.73</v>
      </c>
      <c r="K29" s="66">
        <f>K30</f>
        <v>0</v>
      </c>
      <c r="L29" s="68"/>
      <c r="M29" s="49"/>
      <c r="N29" s="65"/>
    </row>
    <row r="30" spans="1:14" s="6" customFormat="1" ht="39" customHeight="1">
      <c r="A30" s="35"/>
      <c r="B30" s="57"/>
      <c r="C30" s="49" t="s">
        <v>26</v>
      </c>
      <c r="D30" s="59">
        <v>2022</v>
      </c>
      <c r="E30" s="69">
        <f aca="true" t="shared" si="2" ref="E30:E34">F30+G30+J30+K30</f>
        <v>836.33</v>
      </c>
      <c r="F30" s="70"/>
      <c r="G30" s="71">
        <f aca="true" t="shared" si="3" ref="G30:G34">H30+I30</f>
        <v>727.6</v>
      </c>
      <c r="H30" s="53">
        <v>713</v>
      </c>
      <c r="I30" s="53">
        <v>14.6</v>
      </c>
      <c r="J30" s="21">
        <v>108.73</v>
      </c>
      <c r="K30" s="66">
        <v>0</v>
      </c>
      <c r="L30" s="48" t="s">
        <v>26</v>
      </c>
      <c r="M30" s="49"/>
      <c r="N30" s="65"/>
    </row>
    <row r="31" spans="1:14" s="6" customFormat="1" ht="41.25" customHeight="1">
      <c r="A31" s="35"/>
      <c r="B31" s="57"/>
      <c r="C31" s="72"/>
      <c r="D31" s="59">
        <v>2023</v>
      </c>
      <c r="E31" s="51">
        <f t="shared" si="2"/>
        <v>0</v>
      </c>
      <c r="F31" s="52"/>
      <c r="G31" s="53">
        <f t="shared" si="3"/>
        <v>0</v>
      </c>
      <c r="H31" s="73">
        <v>0</v>
      </c>
      <c r="I31" s="73">
        <v>0</v>
      </c>
      <c r="J31" s="74">
        <v>0</v>
      </c>
      <c r="K31" s="75">
        <v>0</v>
      </c>
      <c r="L31" s="55"/>
      <c r="M31" s="49"/>
      <c r="N31" s="65"/>
    </row>
    <row r="32" spans="1:14" s="6" customFormat="1" ht="39.75" customHeight="1">
      <c r="A32" s="35" t="s">
        <v>33</v>
      </c>
      <c r="B32" s="76" t="s">
        <v>34</v>
      </c>
      <c r="C32" s="49" t="s">
        <v>26</v>
      </c>
      <c r="D32" s="77">
        <v>2021</v>
      </c>
      <c r="E32" s="61">
        <f t="shared" si="2"/>
        <v>0</v>
      </c>
      <c r="F32" s="61">
        <v>0</v>
      </c>
      <c r="G32" s="61">
        <f t="shared" si="3"/>
        <v>0</v>
      </c>
      <c r="H32" s="52">
        <v>0</v>
      </c>
      <c r="I32" s="52">
        <v>0</v>
      </c>
      <c r="J32" s="21">
        <v>0</v>
      </c>
      <c r="K32" s="66">
        <v>0</v>
      </c>
      <c r="L32" s="48" t="s">
        <v>26</v>
      </c>
      <c r="M32" s="78" t="s">
        <v>35</v>
      </c>
      <c r="N32" s="79"/>
    </row>
    <row r="33" spans="1:14" s="6" customFormat="1" ht="108.75" customHeight="1">
      <c r="A33" s="35"/>
      <c r="B33" s="76"/>
      <c r="C33" s="49" t="s">
        <v>27</v>
      </c>
      <c r="D33" s="59">
        <v>2022</v>
      </c>
      <c r="E33" s="52">
        <f t="shared" si="2"/>
        <v>0</v>
      </c>
      <c r="F33" s="52">
        <v>0</v>
      </c>
      <c r="G33" s="52">
        <f t="shared" si="3"/>
        <v>0</v>
      </c>
      <c r="H33" s="52">
        <v>0</v>
      </c>
      <c r="I33" s="52">
        <v>0</v>
      </c>
      <c r="J33" s="21">
        <v>0</v>
      </c>
      <c r="K33" s="66">
        <v>0</v>
      </c>
      <c r="L33" s="48" t="s">
        <v>27</v>
      </c>
      <c r="M33" s="78"/>
      <c r="N33" s="79"/>
    </row>
    <row r="34" spans="1:14" s="6" customFormat="1" ht="51.75" customHeight="1">
      <c r="A34" s="35"/>
      <c r="B34" s="76"/>
      <c r="C34" s="72"/>
      <c r="D34" s="59">
        <v>2023</v>
      </c>
      <c r="E34" s="52">
        <f t="shared" si="2"/>
        <v>0</v>
      </c>
      <c r="F34" s="52"/>
      <c r="G34" s="52">
        <f t="shared" si="3"/>
        <v>0</v>
      </c>
      <c r="H34" s="52">
        <v>0</v>
      </c>
      <c r="I34" s="52">
        <v>0</v>
      </c>
      <c r="J34" s="21">
        <v>0</v>
      </c>
      <c r="K34" s="66">
        <v>0</v>
      </c>
      <c r="L34" s="55"/>
      <c r="M34" s="78"/>
      <c r="N34" s="79"/>
    </row>
    <row r="35" spans="1:15" s="6" customFormat="1" ht="49.5" customHeight="1">
      <c r="A35" s="80" t="s">
        <v>36</v>
      </c>
      <c r="B35" s="81" t="s">
        <v>37</v>
      </c>
      <c r="C35" s="82"/>
      <c r="D35" s="83" t="s">
        <v>38</v>
      </c>
      <c r="E35" s="84">
        <f>E36+E37+E38+E39+E40+E41+E42+E43+E44</f>
        <v>3837.5</v>
      </c>
      <c r="F35" s="84">
        <f>F36+F37+F38+F39+F40+F41+F42+F43+F44</f>
        <v>0</v>
      </c>
      <c r="G35" s="84">
        <f>G36+G37+G38+G39+G40+G41+G42+G43+G44</f>
        <v>3799.1</v>
      </c>
      <c r="H35" s="84">
        <f>H36+H37+H38+H39+H40+H41+H42+H43+H44</f>
        <v>3723.1</v>
      </c>
      <c r="I35" s="84">
        <f>I36+I37+I38+I39+I40+I41+I42+I43+I44</f>
        <v>76</v>
      </c>
      <c r="J35" s="85">
        <f>J36+J37+J38+J39+J40+J41+J42+J43+J44</f>
        <v>38.4</v>
      </c>
      <c r="K35" s="86">
        <f>K36+K37+K38+K39+K40+K41+K42+K43+K44</f>
        <v>0</v>
      </c>
      <c r="L35" s="87"/>
      <c r="M35" s="88" t="s">
        <v>39</v>
      </c>
      <c r="N35" s="89"/>
      <c r="O35" s="89"/>
    </row>
    <row r="36" spans="1:15" s="6" customFormat="1" ht="30" customHeight="1">
      <c r="A36" s="80"/>
      <c r="B36" s="81"/>
      <c r="C36" s="49" t="s">
        <v>26</v>
      </c>
      <c r="D36" s="90" t="s">
        <v>38</v>
      </c>
      <c r="E36" s="53">
        <f aca="true" t="shared" si="4" ref="E36:E44">F36+G36+J36+K36</f>
        <v>1918.75</v>
      </c>
      <c r="F36" s="73"/>
      <c r="G36" s="53">
        <f aca="true" t="shared" si="5" ref="G36:G44">H36+I36</f>
        <v>1899.55</v>
      </c>
      <c r="H36" s="53">
        <v>1861.55</v>
      </c>
      <c r="I36" s="73">
        <v>38</v>
      </c>
      <c r="J36" s="74">
        <v>19.2</v>
      </c>
      <c r="K36" s="54">
        <v>0</v>
      </c>
      <c r="L36" s="48" t="s">
        <v>26</v>
      </c>
      <c r="M36" s="88"/>
      <c r="N36" s="89"/>
      <c r="O36" s="89"/>
    </row>
    <row r="37" spans="1:15" s="6" customFormat="1" ht="57.75" customHeight="1">
      <c r="A37" s="80"/>
      <c r="B37" s="81"/>
      <c r="C37" s="49" t="s">
        <v>27</v>
      </c>
      <c r="D37" s="90" t="s">
        <v>38</v>
      </c>
      <c r="E37" s="53">
        <f t="shared" si="4"/>
        <v>1918.75</v>
      </c>
      <c r="F37" s="91"/>
      <c r="G37" s="53">
        <f t="shared" si="5"/>
        <v>1899.55</v>
      </c>
      <c r="H37" s="53">
        <v>1861.55</v>
      </c>
      <c r="I37" s="73">
        <v>38</v>
      </c>
      <c r="J37" s="74">
        <v>19.2</v>
      </c>
      <c r="K37" s="92">
        <v>0</v>
      </c>
      <c r="L37" s="48" t="s">
        <v>27</v>
      </c>
      <c r="M37" s="88"/>
      <c r="N37" s="89"/>
      <c r="O37" s="89"/>
    </row>
    <row r="38" spans="1:15" s="6" customFormat="1" ht="149.25" customHeight="1">
      <c r="A38" s="93" t="s">
        <v>40</v>
      </c>
      <c r="B38" s="94" t="s">
        <v>41</v>
      </c>
      <c r="C38" s="49" t="s">
        <v>26</v>
      </c>
      <c r="D38" s="90" t="s">
        <v>38</v>
      </c>
      <c r="E38" s="52">
        <f t="shared" si="4"/>
        <v>0</v>
      </c>
      <c r="F38" s="84">
        <v>0</v>
      </c>
      <c r="G38" s="53">
        <f t="shared" si="5"/>
        <v>0</v>
      </c>
      <c r="H38" s="84">
        <v>0</v>
      </c>
      <c r="I38" s="84">
        <v>0</v>
      </c>
      <c r="J38" s="85">
        <v>0</v>
      </c>
      <c r="K38" s="86">
        <v>0</v>
      </c>
      <c r="L38" s="48" t="s">
        <v>26</v>
      </c>
      <c r="M38" s="88"/>
      <c r="N38" s="89"/>
      <c r="O38" s="89"/>
    </row>
    <row r="39" spans="1:15" s="6" customFormat="1" ht="105.75" customHeight="1">
      <c r="A39" s="93" t="s">
        <v>42</v>
      </c>
      <c r="B39" s="95" t="s">
        <v>43</v>
      </c>
      <c r="C39" s="49" t="s">
        <v>26</v>
      </c>
      <c r="D39" s="83" t="s">
        <v>38</v>
      </c>
      <c r="E39" s="52">
        <f t="shared" si="4"/>
        <v>0</v>
      </c>
      <c r="F39" s="84">
        <v>0</v>
      </c>
      <c r="G39" s="52">
        <f t="shared" si="5"/>
        <v>0</v>
      </c>
      <c r="H39" s="84">
        <v>0</v>
      </c>
      <c r="I39" s="84">
        <v>0</v>
      </c>
      <c r="J39" s="85">
        <v>0</v>
      </c>
      <c r="K39" s="86">
        <v>0</v>
      </c>
      <c r="L39" s="48" t="s">
        <v>26</v>
      </c>
      <c r="M39" s="88"/>
      <c r="N39" s="89"/>
      <c r="O39" s="89"/>
    </row>
    <row r="40" spans="1:15" s="6" customFormat="1" ht="114.75" customHeight="1">
      <c r="A40" s="93" t="s">
        <v>44</v>
      </c>
      <c r="B40" s="96" t="s">
        <v>45</v>
      </c>
      <c r="C40" s="49" t="s">
        <v>26</v>
      </c>
      <c r="D40" s="59">
        <v>2021</v>
      </c>
      <c r="E40" s="52">
        <f t="shared" si="4"/>
        <v>0</v>
      </c>
      <c r="F40" s="84">
        <v>0</v>
      </c>
      <c r="G40" s="52">
        <f t="shared" si="5"/>
        <v>0</v>
      </c>
      <c r="H40" s="52">
        <v>0</v>
      </c>
      <c r="I40" s="52">
        <v>0</v>
      </c>
      <c r="J40" s="21">
        <v>0</v>
      </c>
      <c r="K40" s="66">
        <v>0</v>
      </c>
      <c r="L40" s="48" t="s">
        <v>26</v>
      </c>
      <c r="M40" s="88"/>
      <c r="N40" s="89"/>
      <c r="O40" s="89"/>
    </row>
    <row r="41" spans="1:15" s="6" customFormat="1" ht="155.25" customHeight="1">
      <c r="A41" s="93" t="s">
        <v>46</v>
      </c>
      <c r="B41" s="97" t="s">
        <v>47</v>
      </c>
      <c r="C41" s="49" t="s">
        <v>26</v>
      </c>
      <c r="D41" s="59">
        <v>2021</v>
      </c>
      <c r="E41" s="52">
        <f t="shared" si="4"/>
        <v>0</v>
      </c>
      <c r="F41" s="84"/>
      <c r="G41" s="52">
        <f t="shared" si="5"/>
        <v>0</v>
      </c>
      <c r="H41" s="52">
        <v>0</v>
      </c>
      <c r="I41" s="52">
        <v>0</v>
      </c>
      <c r="J41" s="21">
        <v>0</v>
      </c>
      <c r="K41" s="66">
        <v>0</v>
      </c>
      <c r="L41" s="48" t="s">
        <v>26</v>
      </c>
      <c r="M41" s="88"/>
      <c r="N41" s="89"/>
      <c r="O41" s="89"/>
    </row>
    <row r="42" spans="1:15" s="6" customFormat="1" ht="133.5" customHeight="1">
      <c r="A42" s="93" t="s">
        <v>48</v>
      </c>
      <c r="B42" s="97" t="s">
        <v>49</v>
      </c>
      <c r="C42" s="49" t="s">
        <v>26</v>
      </c>
      <c r="D42" s="59">
        <v>2021</v>
      </c>
      <c r="E42" s="52">
        <f t="shared" si="4"/>
        <v>0</v>
      </c>
      <c r="F42" s="84"/>
      <c r="G42" s="52">
        <f t="shared" si="5"/>
        <v>0</v>
      </c>
      <c r="H42" s="52">
        <v>0</v>
      </c>
      <c r="I42" s="52">
        <v>0</v>
      </c>
      <c r="J42" s="21">
        <v>0</v>
      </c>
      <c r="K42" s="66">
        <v>0</v>
      </c>
      <c r="L42" s="64"/>
      <c r="M42" s="88"/>
      <c r="N42" s="89"/>
      <c r="O42" s="89"/>
    </row>
    <row r="43" spans="1:15" s="6" customFormat="1" ht="116.25" customHeight="1">
      <c r="A43" s="93" t="s">
        <v>50</v>
      </c>
      <c r="B43" s="96" t="s">
        <v>51</v>
      </c>
      <c r="C43" s="49" t="s">
        <v>26</v>
      </c>
      <c r="D43" s="59">
        <v>2021</v>
      </c>
      <c r="E43" s="52">
        <f t="shared" si="4"/>
        <v>0</v>
      </c>
      <c r="F43" s="84"/>
      <c r="G43" s="52">
        <f t="shared" si="5"/>
        <v>0</v>
      </c>
      <c r="H43" s="52">
        <v>0</v>
      </c>
      <c r="I43" s="52">
        <v>0</v>
      </c>
      <c r="J43" s="21">
        <v>0</v>
      </c>
      <c r="K43" s="66">
        <v>0</v>
      </c>
      <c r="L43" s="48" t="s">
        <v>26</v>
      </c>
      <c r="M43" s="88"/>
      <c r="N43" s="89"/>
      <c r="O43" s="89"/>
    </row>
    <row r="44" spans="1:15" s="6" customFormat="1" ht="144.75" customHeight="1">
      <c r="A44" s="93" t="s">
        <v>52</v>
      </c>
      <c r="B44" s="97" t="s">
        <v>53</v>
      </c>
      <c r="C44" s="49" t="s">
        <v>26</v>
      </c>
      <c r="D44" s="59">
        <v>2021</v>
      </c>
      <c r="E44" s="52">
        <f t="shared" si="4"/>
        <v>0</v>
      </c>
      <c r="F44" s="98"/>
      <c r="G44" s="52">
        <f t="shared" si="5"/>
        <v>0</v>
      </c>
      <c r="H44" s="52">
        <v>0</v>
      </c>
      <c r="I44" s="52">
        <v>0</v>
      </c>
      <c r="J44" s="21">
        <v>0</v>
      </c>
      <c r="K44" s="66">
        <v>0</v>
      </c>
      <c r="L44" s="48" t="s">
        <v>26</v>
      </c>
      <c r="M44" s="88"/>
      <c r="N44" s="89"/>
      <c r="O44" s="89"/>
    </row>
    <row r="45" spans="1:14" s="103" customFormat="1" ht="164.25" customHeight="1">
      <c r="A45" s="35" t="s">
        <v>54</v>
      </c>
      <c r="B45" s="99" t="s">
        <v>55</v>
      </c>
      <c r="C45" s="78" t="s">
        <v>56</v>
      </c>
      <c r="D45" s="18">
        <v>2021</v>
      </c>
      <c r="E45" s="52">
        <v>0</v>
      </c>
      <c r="F45" s="52">
        <f>F46</f>
        <v>0</v>
      </c>
      <c r="G45" s="52">
        <v>0</v>
      </c>
      <c r="H45" s="52">
        <v>0</v>
      </c>
      <c r="I45" s="52">
        <v>0</v>
      </c>
      <c r="J45" s="21">
        <f>J46</f>
        <v>0</v>
      </c>
      <c r="K45" s="66">
        <f>K46</f>
        <v>0</v>
      </c>
      <c r="L45" s="100"/>
      <c r="M45" s="101"/>
      <c r="N45" s="102"/>
    </row>
    <row r="46" spans="1:14" s="103" customFormat="1" ht="90.75" customHeight="1">
      <c r="A46" s="35" t="s">
        <v>54</v>
      </c>
      <c r="B46" s="99" t="s">
        <v>57</v>
      </c>
      <c r="C46" s="49" t="s">
        <v>27</v>
      </c>
      <c r="D46" s="18">
        <v>2023</v>
      </c>
      <c r="E46" s="53">
        <f>F46+G46+J46+K46</f>
        <v>88.89999999999999</v>
      </c>
      <c r="F46" s="53">
        <v>0</v>
      </c>
      <c r="G46" s="52">
        <f>H46+I46</f>
        <v>88.89999999999999</v>
      </c>
      <c r="H46" s="52">
        <v>87.1</v>
      </c>
      <c r="I46" s="52">
        <v>1.8</v>
      </c>
      <c r="J46" s="21">
        <v>0</v>
      </c>
      <c r="K46" s="54">
        <v>0</v>
      </c>
      <c r="L46" s="49" t="s">
        <v>27</v>
      </c>
      <c r="M46" s="101"/>
      <c r="N46" s="102"/>
    </row>
    <row r="47" spans="1:14" s="6" customFormat="1" ht="20.25" customHeight="1">
      <c r="A47" s="22"/>
      <c r="B47" s="18" t="s">
        <v>58</v>
      </c>
      <c r="C47" s="23"/>
      <c r="D47" s="23">
        <v>2020</v>
      </c>
      <c r="E47" s="104">
        <f>E17</f>
        <v>1128.3</v>
      </c>
      <c r="F47" s="104">
        <f>F17</f>
        <v>0</v>
      </c>
      <c r="G47" s="104">
        <f>G17</f>
        <v>1117</v>
      </c>
      <c r="H47" s="104">
        <f>H17</f>
        <v>1094.7</v>
      </c>
      <c r="I47" s="104">
        <f>I17</f>
        <v>22.3</v>
      </c>
      <c r="J47" s="21">
        <f>J17</f>
        <v>11.299999999999997</v>
      </c>
      <c r="K47" s="105">
        <f>K17</f>
        <v>0</v>
      </c>
      <c r="L47" s="64"/>
      <c r="M47" s="106"/>
      <c r="N47" s="107"/>
    </row>
    <row r="48" spans="1:14" s="6" customFormat="1" ht="21">
      <c r="A48" s="22"/>
      <c r="B48" s="18"/>
      <c r="C48" s="23"/>
      <c r="D48" s="23">
        <v>2021</v>
      </c>
      <c r="E48" s="104">
        <f>E27+E32+E35+E45+E18</f>
        <v>6841.74</v>
      </c>
      <c r="F48" s="104">
        <f>F27+F32+F35+F45+F18</f>
        <v>0</v>
      </c>
      <c r="G48" s="104">
        <f>G27+G32+G35+G45+G18</f>
        <v>6662.9</v>
      </c>
      <c r="H48" s="104">
        <f>H27+H32+H35+H45+H18</f>
        <v>6570.9</v>
      </c>
      <c r="I48" s="104">
        <f>I27+I32+I35+I45+I18</f>
        <v>92</v>
      </c>
      <c r="J48" s="21">
        <f>J27+J32+J35+J45+J18</f>
        <v>178.84</v>
      </c>
      <c r="K48" s="105">
        <f>K27+K32+K35+K45+K18</f>
        <v>0</v>
      </c>
      <c r="L48" s="64"/>
      <c r="M48" s="106"/>
      <c r="N48" s="107"/>
    </row>
    <row r="49" spans="1:14" s="6" customFormat="1" ht="21">
      <c r="A49" s="22"/>
      <c r="B49" s="18"/>
      <c r="C49" s="23"/>
      <c r="D49" s="23">
        <v>2022</v>
      </c>
      <c r="E49" s="104">
        <f>E29+E33</f>
        <v>836.33</v>
      </c>
      <c r="F49" s="104">
        <f>F29+F33</f>
        <v>0</v>
      </c>
      <c r="G49" s="104">
        <f>G29+G33</f>
        <v>727.6</v>
      </c>
      <c r="H49" s="104">
        <f>H29+H33</f>
        <v>713</v>
      </c>
      <c r="I49" s="104">
        <f>I29+I33</f>
        <v>14.6</v>
      </c>
      <c r="J49" s="21">
        <f>J29+J33</f>
        <v>108.73</v>
      </c>
      <c r="K49" s="105">
        <f>K29+K33</f>
        <v>0</v>
      </c>
      <c r="L49" s="64"/>
      <c r="M49" s="106"/>
      <c r="N49" s="107"/>
    </row>
    <row r="50" spans="1:14" s="6" customFormat="1" ht="21">
      <c r="A50" s="22"/>
      <c r="B50" s="18"/>
      <c r="C50" s="23"/>
      <c r="D50" s="23">
        <v>2023</v>
      </c>
      <c r="E50" s="104">
        <f>F50+G50+J50+K50</f>
        <v>88.89999999999999</v>
      </c>
      <c r="F50" s="104">
        <v>0</v>
      </c>
      <c r="G50" s="104">
        <f>G46</f>
        <v>88.89999999999999</v>
      </c>
      <c r="H50" s="104">
        <f>H46</f>
        <v>87.1</v>
      </c>
      <c r="I50" s="104">
        <f>I46</f>
        <v>1.8</v>
      </c>
      <c r="J50" s="21">
        <v>0</v>
      </c>
      <c r="K50" s="105">
        <v>0</v>
      </c>
      <c r="L50" s="64"/>
      <c r="M50" s="106"/>
      <c r="N50" s="107"/>
    </row>
    <row r="51" spans="1:14" s="6" customFormat="1" ht="25.5" customHeight="1">
      <c r="A51" s="22"/>
      <c r="B51" s="23" t="s">
        <v>59</v>
      </c>
      <c r="C51" s="23"/>
      <c r="D51" s="23"/>
      <c r="E51" s="104">
        <f>E47+E48+E49+E50</f>
        <v>8895.27</v>
      </c>
      <c r="F51" s="104">
        <f>F47+F48+F49+F50</f>
        <v>0</v>
      </c>
      <c r="G51" s="104">
        <f>G47+G48+G49+G50</f>
        <v>8596.4</v>
      </c>
      <c r="H51" s="104">
        <f>H47+H48+H49+H50</f>
        <v>8465.699999999999</v>
      </c>
      <c r="I51" s="104">
        <f>I47+I48+I49+I50</f>
        <v>130.70000000000002</v>
      </c>
      <c r="J51" s="21">
        <f>J47+J48+J49+J50</f>
        <v>298.87</v>
      </c>
      <c r="K51" s="105">
        <f>K47+K48+K49+K50</f>
        <v>0</v>
      </c>
      <c r="L51" s="64"/>
      <c r="M51" s="106"/>
      <c r="N51" s="107"/>
    </row>
    <row r="52" spans="1:14" ht="27.75" customHeight="1">
      <c r="A52" s="108" t="s">
        <v>60</v>
      </c>
      <c r="B52" s="78" t="s">
        <v>61</v>
      </c>
      <c r="C52" s="78"/>
      <c r="D52" s="18">
        <v>2017</v>
      </c>
      <c r="E52" s="52">
        <f>F52+G52+J52+K52</f>
        <v>0</v>
      </c>
      <c r="F52" s="52"/>
      <c r="G52" s="109">
        <f>H52+I52</f>
        <v>0</v>
      </c>
      <c r="H52" s="53"/>
      <c r="I52" s="53">
        <v>0</v>
      </c>
      <c r="J52" s="21">
        <v>0</v>
      </c>
      <c r="K52" s="110"/>
      <c r="L52" s="111" t="s">
        <v>62</v>
      </c>
      <c r="M52" s="112" t="s">
        <v>63</v>
      </c>
      <c r="N52" s="113"/>
    </row>
    <row r="53" spans="1:14" ht="23.25" customHeight="1">
      <c r="A53" s="108"/>
      <c r="B53" s="78"/>
      <c r="C53" s="78"/>
      <c r="D53" s="18"/>
      <c r="E53" s="52"/>
      <c r="F53" s="52"/>
      <c r="G53" s="109"/>
      <c r="H53" s="53"/>
      <c r="I53" s="53"/>
      <c r="J53" s="21"/>
      <c r="K53" s="110"/>
      <c r="L53" s="111"/>
      <c r="M53" s="112"/>
      <c r="N53" s="113"/>
    </row>
    <row r="54" spans="1:14" ht="30" customHeight="1">
      <c r="A54" s="108"/>
      <c r="B54" s="78"/>
      <c r="C54" s="78"/>
      <c r="D54" s="18">
        <v>2018</v>
      </c>
      <c r="E54" s="52">
        <f aca="true" t="shared" si="6" ref="E54:E57">F54+G54+J54+K54</f>
        <v>0</v>
      </c>
      <c r="F54" s="52"/>
      <c r="G54" s="114">
        <f aca="true" t="shared" si="7" ref="G54:G57">H54+I54</f>
        <v>0</v>
      </c>
      <c r="H54" s="115"/>
      <c r="I54" s="115">
        <v>0</v>
      </c>
      <c r="J54" s="116">
        <v>0</v>
      </c>
      <c r="K54" s="117"/>
      <c r="L54" s="118" t="s">
        <v>62</v>
      </c>
      <c r="M54" s="112"/>
      <c r="N54" s="113"/>
    </row>
    <row r="55" spans="1:14" ht="27.75" customHeight="1">
      <c r="A55" s="108"/>
      <c r="B55" s="78"/>
      <c r="C55" s="78"/>
      <c r="D55" s="18">
        <v>2019</v>
      </c>
      <c r="E55" s="52">
        <f t="shared" si="6"/>
        <v>0</v>
      </c>
      <c r="F55" s="114"/>
      <c r="G55" s="114">
        <f t="shared" si="7"/>
        <v>0</v>
      </c>
      <c r="H55" s="114"/>
      <c r="I55" s="115">
        <v>0</v>
      </c>
      <c r="J55" s="116">
        <v>0</v>
      </c>
      <c r="K55" s="117"/>
      <c r="L55" s="118" t="s">
        <v>62</v>
      </c>
      <c r="M55" s="112"/>
      <c r="N55" s="113"/>
    </row>
    <row r="56" spans="1:14" ht="30" customHeight="1">
      <c r="A56" s="108"/>
      <c r="B56" s="78"/>
      <c r="C56" s="78"/>
      <c r="D56" s="18">
        <v>2020</v>
      </c>
      <c r="E56" s="52">
        <f t="shared" si="6"/>
        <v>78.89038</v>
      </c>
      <c r="F56" s="52"/>
      <c r="G56" s="114">
        <f t="shared" si="7"/>
        <v>0</v>
      </c>
      <c r="H56" s="114"/>
      <c r="I56" s="115">
        <v>0</v>
      </c>
      <c r="J56" s="116">
        <f>63.89+15.00038</f>
        <v>78.89038</v>
      </c>
      <c r="K56" s="110"/>
      <c r="L56" s="111" t="s">
        <v>62</v>
      </c>
      <c r="M56" s="112"/>
      <c r="N56" s="113"/>
    </row>
    <row r="57" spans="1:14" ht="30" customHeight="1">
      <c r="A57" s="108"/>
      <c r="B57" s="78"/>
      <c r="C57" s="78"/>
      <c r="D57" s="18">
        <v>2021</v>
      </c>
      <c r="E57" s="52">
        <f t="shared" si="6"/>
        <v>0</v>
      </c>
      <c r="F57" s="52"/>
      <c r="G57" s="114">
        <f t="shared" si="7"/>
        <v>0</v>
      </c>
      <c r="H57" s="114"/>
      <c r="I57" s="115">
        <v>0</v>
      </c>
      <c r="J57" s="116">
        <v>0</v>
      </c>
      <c r="K57" s="110"/>
      <c r="L57" s="111" t="s">
        <v>62</v>
      </c>
      <c r="M57" s="112"/>
      <c r="N57" s="113"/>
    </row>
    <row r="58" spans="1:14" ht="33.75" customHeight="1">
      <c r="A58" s="108"/>
      <c r="B58" s="78"/>
      <c r="C58" s="78"/>
      <c r="D58" s="18">
        <v>2023</v>
      </c>
      <c r="E58" s="52">
        <v>0</v>
      </c>
      <c r="F58" s="52">
        <v>0</v>
      </c>
      <c r="G58" s="52">
        <v>0</v>
      </c>
      <c r="H58" s="52">
        <v>0</v>
      </c>
      <c r="I58" s="53">
        <v>0</v>
      </c>
      <c r="J58" s="21">
        <v>0</v>
      </c>
      <c r="K58" s="54">
        <v>0</v>
      </c>
      <c r="L58" s="111" t="s">
        <v>62</v>
      </c>
      <c r="M58" s="112"/>
      <c r="N58" s="113"/>
    </row>
    <row r="59" spans="1:14" ht="33.75" customHeight="1">
      <c r="A59" s="119"/>
      <c r="B59" s="120" t="s">
        <v>64</v>
      </c>
      <c r="C59" s="120"/>
      <c r="D59" s="18">
        <v>2017</v>
      </c>
      <c r="E59" s="52">
        <f aca="true" t="shared" si="8" ref="E59:E60">E68</f>
        <v>155.5623</v>
      </c>
      <c r="F59" s="52">
        <f aca="true" t="shared" si="9" ref="F59:F60">F68</f>
        <v>0</v>
      </c>
      <c r="G59" s="52">
        <f aca="true" t="shared" si="10" ref="G59:G60">G68</f>
        <v>0</v>
      </c>
      <c r="H59" s="52">
        <f aca="true" t="shared" si="11" ref="H59:H60">H68</f>
        <v>0</v>
      </c>
      <c r="I59" s="52">
        <f aca="true" t="shared" si="12" ref="I59:I60">I68</f>
        <v>0</v>
      </c>
      <c r="J59" s="21">
        <f aca="true" t="shared" si="13" ref="J59:J60">J68</f>
        <v>155.5623</v>
      </c>
      <c r="K59" s="66">
        <f aca="true" t="shared" si="14" ref="K59:K60">K68</f>
        <v>0</v>
      </c>
      <c r="L59" s="121"/>
      <c r="M59" s="122"/>
      <c r="N59" s="123"/>
    </row>
    <row r="60" spans="1:14" ht="33" customHeight="1">
      <c r="A60" s="119"/>
      <c r="B60" s="120"/>
      <c r="C60" s="120"/>
      <c r="D60" s="18">
        <v>2018</v>
      </c>
      <c r="E60" s="52">
        <f t="shared" si="8"/>
        <v>394.40002999999996</v>
      </c>
      <c r="F60" s="52">
        <f t="shared" si="9"/>
        <v>0</v>
      </c>
      <c r="G60" s="52">
        <f t="shared" si="10"/>
        <v>0</v>
      </c>
      <c r="H60" s="52">
        <f t="shared" si="11"/>
        <v>0</v>
      </c>
      <c r="I60" s="52">
        <f t="shared" si="12"/>
        <v>0</v>
      </c>
      <c r="J60" s="21">
        <f t="shared" si="13"/>
        <v>394.40002999999996</v>
      </c>
      <c r="K60" s="66">
        <f t="shared" si="14"/>
        <v>0</v>
      </c>
      <c r="L60" s="121"/>
      <c r="M60" s="122"/>
      <c r="N60" s="123"/>
    </row>
    <row r="61" spans="1:14" ht="39" customHeight="1">
      <c r="A61" s="119"/>
      <c r="B61" s="120"/>
      <c r="C61" s="120"/>
      <c r="D61" s="18">
        <v>2019</v>
      </c>
      <c r="E61" s="52">
        <f aca="true" t="shared" si="15" ref="E61:E62">E70+E77+E79</f>
        <v>236.87999999999997</v>
      </c>
      <c r="F61" s="52">
        <f aca="true" t="shared" si="16" ref="F61:F62">F70+F77+F79</f>
        <v>0</v>
      </c>
      <c r="G61" s="52">
        <f aca="true" t="shared" si="17" ref="G61:G62">G70+G77+G79</f>
        <v>0</v>
      </c>
      <c r="H61" s="52">
        <f aca="true" t="shared" si="18" ref="H61:H62">H70+H77+H79</f>
        <v>0</v>
      </c>
      <c r="I61" s="52">
        <f aca="true" t="shared" si="19" ref="I61:I62">I70+I77+I79</f>
        <v>0</v>
      </c>
      <c r="J61" s="21">
        <f aca="true" t="shared" si="20" ref="J61:J62">J70+J77+J79</f>
        <v>236.87999999999997</v>
      </c>
      <c r="K61" s="66">
        <f aca="true" t="shared" si="21" ref="K61:K62">K70+K77+K79</f>
        <v>0</v>
      </c>
      <c r="L61" s="121"/>
      <c r="M61" s="122"/>
      <c r="N61" s="123"/>
    </row>
    <row r="62" spans="1:14" ht="33" customHeight="1">
      <c r="A62" s="119"/>
      <c r="B62" s="120"/>
      <c r="C62" s="120"/>
      <c r="D62" s="18">
        <v>2020</v>
      </c>
      <c r="E62" s="52">
        <f t="shared" si="15"/>
        <v>156.84791999999996</v>
      </c>
      <c r="F62" s="52">
        <f t="shared" si="16"/>
        <v>0</v>
      </c>
      <c r="G62" s="52">
        <f t="shared" si="17"/>
        <v>0</v>
      </c>
      <c r="H62" s="52">
        <f t="shared" si="18"/>
        <v>0</v>
      </c>
      <c r="I62" s="52">
        <f t="shared" si="19"/>
        <v>0</v>
      </c>
      <c r="J62" s="21">
        <f t="shared" si="20"/>
        <v>156.84791999999996</v>
      </c>
      <c r="K62" s="66">
        <f t="shared" si="21"/>
        <v>0</v>
      </c>
      <c r="L62" s="121"/>
      <c r="M62" s="122"/>
      <c r="N62" s="123"/>
    </row>
    <row r="63" spans="1:14" ht="33" customHeight="1">
      <c r="A63" s="119"/>
      <c r="B63" s="120"/>
      <c r="C63" s="120"/>
      <c r="D63" s="18">
        <v>2021</v>
      </c>
      <c r="E63" s="52">
        <f>E72+E81</f>
        <v>510.9295499999999</v>
      </c>
      <c r="F63" s="52">
        <f aca="true" t="shared" si="22" ref="F63:F64">F72</f>
        <v>0</v>
      </c>
      <c r="G63" s="52">
        <f aca="true" t="shared" si="23" ref="G63:G64">G72</f>
        <v>15</v>
      </c>
      <c r="H63" s="52">
        <f aca="true" t="shared" si="24" ref="H63:H64">H72</f>
        <v>0</v>
      </c>
      <c r="I63" s="52">
        <f aca="true" t="shared" si="25" ref="I63:I64">I72</f>
        <v>15</v>
      </c>
      <c r="J63" s="21">
        <f>J72+J81</f>
        <v>495.9295499999999</v>
      </c>
      <c r="K63" s="66">
        <f aca="true" t="shared" si="26" ref="K63:K65">K72</f>
        <v>0</v>
      </c>
      <c r="L63" s="121"/>
      <c r="M63" s="122"/>
      <c r="N63" s="123"/>
    </row>
    <row r="64" spans="1:14" s="127" customFormat="1" ht="30" customHeight="1">
      <c r="A64" s="119"/>
      <c r="B64" s="120"/>
      <c r="C64" s="120"/>
      <c r="D64" s="18">
        <v>2022</v>
      </c>
      <c r="E64" s="124">
        <f>E73+E82+E91+E98+E107+E117+E126</f>
        <v>407.44672</v>
      </c>
      <c r="F64" s="52">
        <f t="shared" si="22"/>
        <v>0</v>
      </c>
      <c r="G64" s="52">
        <f t="shared" si="23"/>
        <v>0</v>
      </c>
      <c r="H64" s="52">
        <f t="shared" si="24"/>
        <v>0</v>
      </c>
      <c r="I64" s="52">
        <f t="shared" si="25"/>
        <v>0</v>
      </c>
      <c r="J64" s="21">
        <f>J73+J82+J91+J98+J107+J117+J126</f>
        <v>407.44672</v>
      </c>
      <c r="K64" s="66">
        <f t="shared" si="26"/>
        <v>0</v>
      </c>
      <c r="L64" s="125"/>
      <c r="M64" s="122"/>
      <c r="N64" s="126"/>
    </row>
    <row r="65" spans="1:14" ht="30" customHeight="1">
      <c r="A65" s="119"/>
      <c r="B65" s="120"/>
      <c r="C65" s="120"/>
      <c r="D65" s="128">
        <v>2023</v>
      </c>
      <c r="E65" s="124">
        <f>E74+E99+E108+E118+E83</f>
        <v>334.64894</v>
      </c>
      <c r="F65" s="21">
        <f>F74+F99+F108+F118+F83</f>
        <v>0</v>
      </c>
      <c r="G65" s="21">
        <f>G74+G99+G108+G118+G83</f>
        <v>0</v>
      </c>
      <c r="H65" s="21">
        <f>H74+H99+H108+H118+H83</f>
        <v>0</v>
      </c>
      <c r="I65" s="21">
        <f>I74+I99+I108+I118+I83</f>
        <v>0</v>
      </c>
      <c r="J65" s="21">
        <f>J74+J99+J108+J118+J83</f>
        <v>334.64894</v>
      </c>
      <c r="K65" s="63">
        <f t="shared" si="26"/>
        <v>0</v>
      </c>
      <c r="L65" s="121"/>
      <c r="M65" s="122"/>
      <c r="N65" s="129"/>
    </row>
    <row r="66" spans="1:14" ht="30" customHeight="1">
      <c r="A66" s="119"/>
      <c r="B66" s="120"/>
      <c r="C66" s="120"/>
      <c r="D66" s="128">
        <v>2024</v>
      </c>
      <c r="E66" s="61">
        <f aca="true" t="shared" si="27" ref="E66:E67">E75+E100+E109+E119</f>
        <v>450</v>
      </c>
      <c r="F66" s="61">
        <f aca="true" t="shared" si="28" ref="F66:F67">F75</f>
        <v>0</v>
      </c>
      <c r="G66" s="61">
        <f aca="true" t="shared" si="29" ref="G66:G67">G75</f>
        <v>0</v>
      </c>
      <c r="H66" s="61">
        <f aca="true" t="shared" si="30" ref="H66:H67">H75</f>
        <v>0</v>
      </c>
      <c r="I66" s="61">
        <f aca="true" t="shared" si="31" ref="I66:I67">I75</f>
        <v>0</v>
      </c>
      <c r="J66" s="62">
        <f aca="true" t="shared" si="32" ref="J66:J67">J75+J100+J109+J119</f>
        <v>450</v>
      </c>
      <c r="K66" s="63"/>
      <c r="L66" s="121"/>
      <c r="M66" s="122"/>
      <c r="N66" s="129"/>
    </row>
    <row r="67" spans="1:14" ht="30" customHeight="1">
      <c r="A67" s="119"/>
      <c r="B67" s="120"/>
      <c r="C67" s="120"/>
      <c r="D67" s="18">
        <v>2025</v>
      </c>
      <c r="E67" s="61">
        <f t="shared" si="27"/>
        <v>450</v>
      </c>
      <c r="F67" s="61">
        <f t="shared" si="28"/>
        <v>0</v>
      </c>
      <c r="G67" s="61">
        <f t="shared" si="29"/>
        <v>0</v>
      </c>
      <c r="H67" s="61">
        <f t="shared" si="30"/>
        <v>0</v>
      </c>
      <c r="I67" s="61">
        <f t="shared" si="31"/>
        <v>0</v>
      </c>
      <c r="J67" s="62">
        <f t="shared" si="32"/>
        <v>450</v>
      </c>
      <c r="K67" s="66">
        <f>K77</f>
        <v>0</v>
      </c>
      <c r="L67" s="121"/>
      <c r="M67" s="122"/>
      <c r="N67" s="123"/>
    </row>
    <row r="68" spans="1:14" ht="55.5" customHeight="1">
      <c r="A68" s="130" t="s">
        <v>65</v>
      </c>
      <c r="B68" s="131" t="s">
        <v>66</v>
      </c>
      <c r="C68" s="131"/>
      <c r="D68" s="72">
        <v>2017</v>
      </c>
      <c r="E68" s="53">
        <f aca="true" t="shared" si="33" ref="E68:E85">F68+I68+J68+K68</f>
        <v>155.5623</v>
      </c>
      <c r="F68" s="53"/>
      <c r="G68" s="53">
        <f aca="true" t="shared" si="34" ref="G68:G93">H68+I68</f>
        <v>0</v>
      </c>
      <c r="H68" s="132"/>
      <c r="I68" s="53">
        <v>0</v>
      </c>
      <c r="J68" s="21">
        <f>40+68.197-39.45+0.42+51.795+4.6003+30</f>
        <v>155.5623</v>
      </c>
      <c r="K68" s="133"/>
      <c r="L68" s="111" t="s">
        <v>67</v>
      </c>
      <c r="M68" s="112" t="s">
        <v>68</v>
      </c>
      <c r="N68" s="113"/>
    </row>
    <row r="69" spans="1:14" ht="63.75" customHeight="1">
      <c r="A69" s="130"/>
      <c r="B69" s="131"/>
      <c r="C69" s="131"/>
      <c r="D69" s="72">
        <v>2018</v>
      </c>
      <c r="E69" s="53">
        <f t="shared" si="33"/>
        <v>394.40002999999996</v>
      </c>
      <c r="F69" s="53"/>
      <c r="G69" s="53">
        <f t="shared" si="34"/>
        <v>0</v>
      </c>
      <c r="H69" s="132"/>
      <c r="I69" s="53">
        <v>0</v>
      </c>
      <c r="J69" s="21">
        <f>325-70-60+150-5.5-9.25-8.1+41.63+30.62003</f>
        <v>394.40002999999996</v>
      </c>
      <c r="K69" s="133"/>
      <c r="L69" s="111" t="s">
        <v>69</v>
      </c>
      <c r="M69" s="112"/>
      <c r="N69" s="113"/>
    </row>
    <row r="70" spans="1:14" ht="50.25" customHeight="1">
      <c r="A70" s="130"/>
      <c r="B70" s="131"/>
      <c r="C70" s="131"/>
      <c r="D70" s="72">
        <v>2019</v>
      </c>
      <c r="E70" s="53">
        <f t="shared" si="33"/>
        <v>194.37999999999997</v>
      </c>
      <c r="F70" s="53"/>
      <c r="G70" s="53">
        <f t="shared" si="34"/>
        <v>0</v>
      </c>
      <c r="H70" s="132"/>
      <c r="I70" s="53">
        <v>0</v>
      </c>
      <c r="J70" s="21">
        <f>363.78-1.1-12.25-15.357-19-61.293-19-42.5+1.1</f>
        <v>194.37999999999997</v>
      </c>
      <c r="K70" s="133"/>
      <c r="L70" s="111" t="s">
        <v>70</v>
      </c>
      <c r="M70" s="112"/>
      <c r="N70" s="113"/>
    </row>
    <row r="71" spans="1:14" ht="45" customHeight="1">
      <c r="A71" s="130"/>
      <c r="B71" s="131"/>
      <c r="C71" s="131"/>
      <c r="D71" s="72">
        <v>2020</v>
      </c>
      <c r="E71" s="53">
        <f t="shared" si="33"/>
        <v>113.44791999999995</v>
      </c>
      <c r="F71" s="53"/>
      <c r="G71" s="53">
        <f t="shared" si="34"/>
        <v>0</v>
      </c>
      <c r="H71" s="132"/>
      <c r="I71" s="53">
        <v>0</v>
      </c>
      <c r="J71" s="21">
        <f>276.53-9.9657-43.4-1.781-40-4.2-3-13.2+26.355-63.89-10.00038</f>
        <v>113.44791999999995</v>
      </c>
      <c r="K71" s="132"/>
      <c r="L71" s="134" t="s">
        <v>70</v>
      </c>
      <c r="M71" s="112"/>
      <c r="N71" s="113"/>
    </row>
    <row r="72" spans="1:14" ht="50.25" customHeight="1">
      <c r="A72" s="130"/>
      <c r="B72" s="131"/>
      <c r="C72" s="131"/>
      <c r="D72" s="72">
        <v>2021</v>
      </c>
      <c r="E72" s="53">
        <f t="shared" si="33"/>
        <v>467.1295499999999</v>
      </c>
      <c r="F72" s="53"/>
      <c r="G72" s="53">
        <f t="shared" si="34"/>
        <v>15</v>
      </c>
      <c r="H72" s="132"/>
      <c r="I72" s="53">
        <v>15</v>
      </c>
      <c r="J72" s="21">
        <f>527.87605+2.935-70.84-7.8415</f>
        <v>452.1295499999999</v>
      </c>
      <c r="K72" s="132"/>
      <c r="L72" s="56" t="s">
        <v>62</v>
      </c>
      <c r="M72" s="112"/>
      <c r="N72" s="113"/>
    </row>
    <row r="73" spans="1:14" ht="51" customHeight="1">
      <c r="A73" s="130"/>
      <c r="B73" s="131"/>
      <c r="C73" s="131"/>
      <c r="D73" s="72">
        <v>2022</v>
      </c>
      <c r="E73" s="53">
        <f t="shared" si="33"/>
        <v>164.74672</v>
      </c>
      <c r="F73" s="53"/>
      <c r="G73" s="53">
        <f t="shared" si="34"/>
        <v>0</v>
      </c>
      <c r="H73" s="132"/>
      <c r="I73" s="53">
        <v>0</v>
      </c>
      <c r="J73" s="21">
        <v>164.74672</v>
      </c>
      <c r="K73" s="132"/>
      <c r="L73" s="56" t="s">
        <v>70</v>
      </c>
      <c r="M73" s="112"/>
      <c r="N73" s="113"/>
    </row>
    <row r="74" spans="1:14" ht="33" customHeight="1">
      <c r="A74" s="130"/>
      <c r="B74" s="131"/>
      <c r="C74" s="131"/>
      <c r="D74" s="72">
        <v>2023</v>
      </c>
      <c r="E74" s="53">
        <f t="shared" si="33"/>
        <v>166.27894</v>
      </c>
      <c r="F74" s="53"/>
      <c r="G74" s="53">
        <f t="shared" si="34"/>
        <v>0</v>
      </c>
      <c r="H74" s="132"/>
      <c r="I74" s="53">
        <v>0</v>
      </c>
      <c r="J74" s="21">
        <v>166.27894</v>
      </c>
      <c r="K74" s="132"/>
      <c r="L74" s="111" t="s">
        <v>67</v>
      </c>
      <c r="M74" s="112"/>
      <c r="N74" s="113"/>
    </row>
    <row r="75" spans="1:14" ht="33" customHeight="1">
      <c r="A75" s="130"/>
      <c r="B75" s="131"/>
      <c r="C75" s="131"/>
      <c r="D75" s="72">
        <v>2024</v>
      </c>
      <c r="E75" s="53">
        <f t="shared" si="33"/>
        <v>195</v>
      </c>
      <c r="F75" s="53"/>
      <c r="G75" s="53">
        <f t="shared" si="34"/>
        <v>0</v>
      </c>
      <c r="H75" s="132"/>
      <c r="I75" s="53">
        <v>0</v>
      </c>
      <c r="J75" s="21">
        <f aca="true" t="shared" si="35" ref="J75:J76">145+J84</f>
        <v>195</v>
      </c>
      <c r="K75" s="132"/>
      <c r="L75" s="111" t="s">
        <v>67</v>
      </c>
      <c r="M75" s="135"/>
      <c r="N75" s="113"/>
    </row>
    <row r="76" spans="1:14" ht="33" customHeight="1">
      <c r="A76" s="130"/>
      <c r="B76" s="131"/>
      <c r="C76" s="131"/>
      <c r="D76" s="72">
        <v>2025</v>
      </c>
      <c r="E76" s="53">
        <f t="shared" si="33"/>
        <v>195</v>
      </c>
      <c r="F76" s="53"/>
      <c r="G76" s="53">
        <f t="shared" si="34"/>
        <v>0</v>
      </c>
      <c r="H76" s="132"/>
      <c r="I76" s="53">
        <v>0</v>
      </c>
      <c r="J76" s="21">
        <f t="shared" si="35"/>
        <v>195</v>
      </c>
      <c r="K76" s="132"/>
      <c r="L76" s="111" t="s">
        <v>67</v>
      </c>
      <c r="M76" s="135"/>
      <c r="N76" s="113"/>
    </row>
    <row r="77" spans="1:14" ht="35.25" customHeight="1">
      <c r="A77" s="108" t="s">
        <v>71</v>
      </c>
      <c r="B77" s="49" t="s">
        <v>72</v>
      </c>
      <c r="C77" s="49"/>
      <c r="D77" s="72">
        <v>2019</v>
      </c>
      <c r="E77" s="53">
        <f t="shared" si="33"/>
        <v>0</v>
      </c>
      <c r="F77" s="53"/>
      <c r="G77" s="53">
        <f t="shared" si="34"/>
        <v>0</v>
      </c>
      <c r="H77" s="132"/>
      <c r="I77" s="53">
        <v>0</v>
      </c>
      <c r="J77" s="21">
        <v>0</v>
      </c>
      <c r="K77" s="132"/>
      <c r="L77" s="56"/>
      <c r="M77" s="112"/>
      <c r="N77" s="113"/>
    </row>
    <row r="78" spans="1:14" ht="39" customHeight="1">
      <c r="A78" s="108"/>
      <c r="B78" s="49"/>
      <c r="C78" s="49"/>
      <c r="D78" s="72">
        <v>2020</v>
      </c>
      <c r="E78" s="53">
        <f t="shared" si="33"/>
        <v>0</v>
      </c>
      <c r="F78" s="53"/>
      <c r="G78" s="53">
        <f t="shared" si="34"/>
        <v>0</v>
      </c>
      <c r="H78" s="132"/>
      <c r="I78" s="53">
        <v>0</v>
      </c>
      <c r="J78" s="21">
        <v>0</v>
      </c>
      <c r="K78" s="132"/>
      <c r="L78" s="56"/>
      <c r="M78" s="112"/>
      <c r="N78" s="113"/>
    </row>
    <row r="79" spans="1:14" ht="33.75" customHeight="1">
      <c r="A79" s="108" t="s">
        <v>73</v>
      </c>
      <c r="B79" s="49" t="s">
        <v>74</v>
      </c>
      <c r="C79" s="49"/>
      <c r="D79" s="72">
        <v>2019</v>
      </c>
      <c r="E79" s="53">
        <f t="shared" si="33"/>
        <v>42.5</v>
      </c>
      <c r="F79" s="53"/>
      <c r="G79" s="53">
        <f t="shared" si="34"/>
        <v>0</v>
      </c>
      <c r="H79" s="132"/>
      <c r="I79" s="53"/>
      <c r="J79" s="21">
        <v>42.5</v>
      </c>
      <c r="K79" s="132"/>
      <c r="L79" s="56" t="s">
        <v>75</v>
      </c>
      <c r="M79" s="112"/>
      <c r="N79" s="113"/>
    </row>
    <row r="80" spans="1:14" ht="39.75" customHeight="1">
      <c r="A80" s="108"/>
      <c r="B80" s="49"/>
      <c r="C80" s="49"/>
      <c r="D80" s="72">
        <v>2020</v>
      </c>
      <c r="E80" s="53">
        <f t="shared" si="33"/>
        <v>43.4</v>
      </c>
      <c r="F80" s="53"/>
      <c r="G80" s="53">
        <f t="shared" si="34"/>
        <v>0</v>
      </c>
      <c r="H80" s="132"/>
      <c r="I80" s="53"/>
      <c r="J80" s="21">
        <v>43.4</v>
      </c>
      <c r="K80" s="132"/>
      <c r="L80" s="56" t="s">
        <v>75</v>
      </c>
      <c r="M80" s="112"/>
      <c r="N80" s="113"/>
    </row>
    <row r="81" spans="1:14" ht="24.75" customHeight="1">
      <c r="A81" s="108"/>
      <c r="B81" s="49"/>
      <c r="C81" s="49"/>
      <c r="D81" s="72">
        <v>2021</v>
      </c>
      <c r="E81" s="53">
        <f t="shared" si="33"/>
        <v>43.8</v>
      </c>
      <c r="F81" s="53"/>
      <c r="G81" s="53">
        <f t="shared" si="34"/>
        <v>0</v>
      </c>
      <c r="H81" s="132"/>
      <c r="I81" s="53"/>
      <c r="J81" s="21">
        <v>43.8</v>
      </c>
      <c r="K81" s="132"/>
      <c r="L81" s="56"/>
      <c r="M81" s="112"/>
      <c r="N81" s="113"/>
    </row>
    <row r="82" spans="1:14" ht="24.75" customHeight="1">
      <c r="A82" s="108"/>
      <c r="B82" s="49"/>
      <c r="C82" s="49"/>
      <c r="D82" s="72">
        <v>2022</v>
      </c>
      <c r="E82" s="53">
        <f t="shared" si="33"/>
        <v>47.4</v>
      </c>
      <c r="F82" s="53"/>
      <c r="G82" s="53">
        <f t="shared" si="34"/>
        <v>0</v>
      </c>
      <c r="H82" s="132"/>
      <c r="I82" s="53"/>
      <c r="J82" s="21">
        <v>47.4</v>
      </c>
      <c r="K82" s="132"/>
      <c r="L82" s="56"/>
      <c r="M82" s="112"/>
      <c r="N82" s="113"/>
    </row>
    <row r="83" spans="1:14" ht="24.75" customHeight="1">
      <c r="A83" s="108"/>
      <c r="B83" s="49"/>
      <c r="C83" s="49"/>
      <c r="D83" s="72">
        <v>2023</v>
      </c>
      <c r="E83" s="53">
        <f t="shared" si="33"/>
        <v>49.3</v>
      </c>
      <c r="F83" s="53"/>
      <c r="G83" s="53">
        <f t="shared" si="34"/>
        <v>0</v>
      </c>
      <c r="H83" s="132"/>
      <c r="I83" s="53"/>
      <c r="J83" s="21">
        <v>49.3</v>
      </c>
      <c r="K83" s="132"/>
      <c r="L83" s="56"/>
      <c r="M83" s="112"/>
      <c r="N83" s="113"/>
    </row>
    <row r="84" spans="1:14" ht="24.75" customHeight="1">
      <c r="A84" s="108"/>
      <c r="B84" s="49"/>
      <c r="C84" s="49"/>
      <c r="D84" s="72">
        <v>2024</v>
      </c>
      <c r="E84" s="53">
        <f t="shared" si="33"/>
        <v>50</v>
      </c>
      <c r="F84" s="53"/>
      <c r="G84" s="53">
        <f t="shared" si="34"/>
        <v>0</v>
      </c>
      <c r="H84" s="132"/>
      <c r="I84" s="53"/>
      <c r="J84" s="21">
        <v>50</v>
      </c>
      <c r="K84" s="132"/>
      <c r="L84" s="56"/>
      <c r="M84" s="112"/>
      <c r="N84" s="113"/>
    </row>
    <row r="85" spans="1:14" ht="24.75" customHeight="1">
      <c r="A85" s="108"/>
      <c r="B85" s="49"/>
      <c r="C85" s="49"/>
      <c r="D85" s="72">
        <v>2025</v>
      </c>
      <c r="E85" s="53">
        <f t="shared" si="33"/>
        <v>50</v>
      </c>
      <c r="F85" s="53"/>
      <c r="G85" s="53">
        <f t="shared" si="34"/>
        <v>0</v>
      </c>
      <c r="H85" s="132"/>
      <c r="I85" s="53"/>
      <c r="J85" s="21">
        <v>50</v>
      </c>
      <c r="K85" s="132"/>
      <c r="L85" s="56"/>
      <c r="M85" s="112"/>
      <c r="N85" s="113"/>
    </row>
    <row r="86" spans="1:14" ht="24.75" customHeight="1">
      <c r="A86" s="108" t="s">
        <v>76</v>
      </c>
      <c r="B86" s="49" t="s">
        <v>77</v>
      </c>
      <c r="C86" s="49"/>
      <c r="D86" s="18">
        <v>2017</v>
      </c>
      <c r="E86" s="136">
        <f aca="true" t="shared" si="36" ref="E86:E92">F86+G86+J86+K86</f>
        <v>11</v>
      </c>
      <c r="F86" s="136"/>
      <c r="G86" s="137">
        <f t="shared" si="34"/>
        <v>0</v>
      </c>
      <c r="H86" s="138"/>
      <c r="I86" s="139">
        <v>0</v>
      </c>
      <c r="J86" s="116">
        <f>11</f>
        <v>11</v>
      </c>
      <c r="K86" s="137"/>
      <c r="L86" s="56" t="s">
        <v>78</v>
      </c>
      <c r="M86" s="112" t="s">
        <v>79</v>
      </c>
      <c r="N86" s="113"/>
    </row>
    <row r="87" spans="1:14" ht="24.75" customHeight="1">
      <c r="A87" s="108"/>
      <c r="B87" s="49"/>
      <c r="C87" s="49"/>
      <c r="D87" s="18">
        <v>2018</v>
      </c>
      <c r="E87" s="136">
        <f t="shared" si="36"/>
        <v>0</v>
      </c>
      <c r="F87" s="136"/>
      <c r="G87" s="137">
        <f t="shared" si="34"/>
        <v>0</v>
      </c>
      <c r="H87" s="138"/>
      <c r="I87" s="139">
        <v>0</v>
      </c>
      <c r="J87" s="116">
        <v>0</v>
      </c>
      <c r="K87" s="137"/>
      <c r="L87" s="56" t="s">
        <v>80</v>
      </c>
      <c r="M87" s="112"/>
      <c r="N87" s="113"/>
    </row>
    <row r="88" spans="1:14" ht="24.75" customHeight="1">
      <c r="A88" s="108"/>
      <c r="B88" s="49"/>
      <c r="C88" s="49"/>
      <c r="D88" s="18">
        <v>2019</v>
      </c>
      <c r="E88" s="136">
        <f t="shared" si="36"/>
        <v>0</v>
      </c>
      <c r="F88" s="136"/>
      <c r="G88" s="137">
        <f t="shared" si="34"/>
        <v>0</v>
      </c>
      <c r="H88" s="138"/>
      <c r="I88" s="139">
        <v>0</v>
      </c>
      <c r="J88" s="116">
        <v>0</v>
      </c>
      <c r="K88" s="137"/>
      <c r="L88" s="56" t="s">
        <v>80</v>
      </c>
      <c r="M88" s="112"/>
      <c r="N88" s="113"/>
    </row>
    <row r="89" spans="1:14" ht="24.75" customHeight="1">
      <c r="A89" s="108"/>
      <c r="B89" s="49"/>
      <c r="C89" s="49"/>
      <c r="D89" s="18">
        <v>2020</v>
      </c>
      <c r="E89" s="136">
        <f t="shared" si="36"/>
        <v>0</v>
      </c>
      <c r="F89" s="136"/>
      <c r="G89" s="137">
        <f t="shared" si="34"/>
        <v>0</v>
      </c>
      <c r="H89" s="138"/>
      <c r="I89" s="139">
        <v>0</v>
      </c>
      <c r="J89" s="116">
        <v>0</v>
      </c>
      <c r="K89" s="137"/>
      <c r="L89" s="56" t="s">
        <v>80</v>
      </c>
      <c r="M89" s="112"/>
      <c r="N89" s="113"/>
    </row>
    <row r="90" spans="1:14" ht="24.75" customHeight="1">
      <c r="A90" s="108"/>
      <c r="B90" s="49"/>
      <c r="C90" s="49"/>
      <c r="D90" s="18">
        <v>2021</v>
      </c>
      <c r="E90" s="136">
        <f t="shared" si="36"/>
        <v>7</v>
      </c>
      <c r="F90" s="136"/>
      <c r="G90" s="137">
        <f t="shared" si="34"/>
        <v>0</v>
      </c>
      <c r="H90" s="138"/>
      <c r="I90" s="139">
        <v>0</v>
      </c>
      <c r="J90" s="116">
        <v>7</v>
      </c>
      <c r="K90" s="137"/>
      <c r="L90" s="56" t="s">
        <v>80</v>
      </c>
      <c r="M90" s="112"/>
      <c r="N90" s="113"/>
    </row>
    <row r="91" spans="1:14" ht="22.5" customHeight="1">
      <c r="A91" s="108"/>
      <c r="B91" s="49"/>
      <c r="C91" s="49"/>
      <c r="D91" s="18">
        <v>2022</v>
      </c>
      <c r="E91" s="136">
        <f t="shared" si="36"/>
        <v>0</v>
      </c>
      <c r="F91" s="136"/>
      <c r="G91" s="137">
        <f t="shared" si="34"/>
        <v>0</v>
      </c>
      <c r="H91" s="138"/>
      <c r="I91" s="139">
        <v>0</v>
      </c>
      <c r="J91" s="116">
        <v>0</v>
      </c>
      <c r="K91" s="137"/>
      <c r="L91" s="56" t="s">
        <v>80</v>
      </c>
      <c r="M91" s="112"/>
      <c r="N91" s="113"/>
    </row>
    <row r="92" spans="1:14" ht="41.25" customHeight="1">
      <c r="A92" s="108" t="s">
        <v>81</v>
      </c>
      <c r="B92" s="140" t="s">
        <v>82</v>
      </c>
      <c r="C92" s="140"/>
      <c r="D92" s="18">
        <v>2017</v>
      </c>
      <c r="E92" s="52">
        <f t="shared" si="36"/>
        <v>34.265</v>
      </c>
      <c r="F92" s="52"/>
      <c r="G92" s="53">
        <f t="shared" si="34"/>
        <v>0</v>
      </c>
      <c r="H92" s="53"/>
      <c r="I92" s="53">
        <v>0</v>
      </c>
      <c r="J92" s="21">
        <f>100-13.94-51.795</f>
        <v>34.265</v>
      </c>
      <c r="K92" s="53"/>
      <c r="L92" s="56" t="s">
        <v>62</v>
      </c>
      <c r="M92" s="112" t="s">
        <v>83</v>
      </c>
      <c r="N92" s="113"/>
    </row>
    <row r="93" spans="1:14" ht="21.75" customHeight="1">
      <c r="A93" s="108"/>
      <c r="B93" s="140"/>
      <c r="C93" s="140"/>
      <c r="D93" s="18">
        <v>2018</v>
      </c>
      <c r="E93" s="52">
        <f>F93+G93+J93+K94</f>
        <v>22.85</v>
      </c>
      <c r="F93" s="52"/>
      <c r="G93" s="53">
        <f t="shared" si="34"/>
        <v>0</v>
      </c>
      <c r="H93" s="53"/>
      <c r="I93" s="53">
        <v>0</v>
      </c>
      <c r="J93" s="21">
        <f>5.5+9.25+8.1</f>
        <v>22.85</v>
      </c>
      <c r="K93" s="53"/>
      <c r="L93" s="56" t="s">
        <v>62</v>
      </c>
      <c r="M93" s="112"/>
      <c r="N93" s="113"/>
    </row>
    <row r="94" spans="1:14" ht="18.75" customHeight="1">
      <c r="A94" s="108"/>
      <c r="B94" s="140"/>
      <c r="C94" s="140"/>
      <c r="D94" s="18"/>
      <c r="E94" s="52"/>
      <c r="F94" s="52"/>
      <c r="G94" s="53"/>
      <c r="H94" s="53"/>
      <c r="I94" s="53"/>
      <c r="J94" s="21"/>
      <c r="K94" s="53"/>
      <c r="L94" s="56"/>
      <c r="M94" s="112"/>
      <c r="N94" s="113"/>
    </row>
    <row r="95" spans="1:14" ht="54" customHeight="1">
      <c r="A95" s="108"/>
      <c r="B95" s="140"/>
      <c r="C95" s="140"/>
      <c r="D95" s="18">
        <v>2019</v>
      </c>
      <c r="E95" s="52">
        <f aca="true" t="shared" si="37" ref="E95:E111">F95+G95+J95+K95</f>
        <v>35.1</v>
      </c>
      <c r="F95" s="53"/>
      <c r="G95" s="53">
        <f aca="true" t="shared" si="38" ref="G95:G111">H95+I95</f>
        <v>0</v>
      </c>
      <c r="H95" s="53"/>
      <c r="I95" s="53">
        <v>0</v>
      </c>
      <c r="J95" s="21">
        <f>22.85+12.25</f>
        <v>35.1</v>
      </c>
      <c r="K95" s="132"/>
      <c r="L95" s="56" t="s">
        <v>62</v>
      </c>
      <c r="M95" s="112"/>
      <c r="N95" s="113"/>
    </row>
    <row r="96" spans="1:14" ht="36.75" customHeight="1">
      <c r="A96" s="108"/>
      <c r="B96" s="140"/>
      <c r="C96" s="140"/>
      <c r="D96" s="18">
        <v>2020</v>
      </c>
      <c r="E96" s="52">
        <f t="shared" si="37"/>
        <v>65.4657</v>
      </c>
      <c r="F96" s="53"/>
      <c r="G96" s="53">
        <f t="shared" si="38"/>
        <v>0</v>
      </c>
      <c r="H96" s="53"/>
      <c r="I96" s="53">
        <v>0</v>
      </c>
      <c r="J96" s="21">
        <f>35.1+9.9657+4.2+3+13.2</f>
        <v>65.4657</v>
      </c>
      <c r="K96" s="132"/>
      <c r="L96" s="56" t="s">
        <v>62</v>
      </c>
      <c r="M96" s="112"/>
      <c r="N96" s="113"/>
    </row>
    <row r="97" spans="1:14" ht="34.5" customHeight="1">
      <c r="A97" s="108"/>
      <c r="B97" s="140"/>
      <c r="C97" s="140"/>
      <c r="D97" s="18">
        <v>2021</v>
      </c>
      <c r="E97" s="52">
        <f t="shared" si="37"/>
        <v>0</v>
      </c>
      <c r="F97" s="53"/>
      <c r="G97" s="53">
        <f t="shared" si="38"/>
        <v>0</v>
      </c>
      <c r="H97" s="53"/>
      <c r="I97" s="53">
        <v>0</v>
      </c>
      <c r="J97" s="21">
        <v>0</v>
      </c>
      <c r="K97" s="132"/>
      <c r="L97" s="56" t="s">
        <v>62</v>
      </c>
      <c r="M97" s="112"/>
      <c r="N97" s="113"/>
    </row>
    <row r="98" spans="1:14" ht="33.75" customHeight="1">
      <c r="A98" s="108"/>
      <c r="B98" s="140"/>
      <c r="C98" s="140"/>
      <c r="D98" s="18">
        <v>2022</v>
      </c>
      <c r="E98" s="52">
        <f t="shared" si="37"/>
        <v>25.9</v>
      </c>
      <c r="F98" s="53"/>
      <c r="G98" s="53">
        <f t="shared" si="38"/>
        <v>0</v>
      </c>
      <c r="H98" s="53"/>
      <c r="I98" s="53">
        <v>0</v>
      </c>
      <c r="J98" s="21">
        <v>25.9</v>
      </c>
      <c r="K98" s="132"/>
      <c r="L98" s="56" t="s">
        <v>62</v>
      </c>
      <c r="M98" s="112"/>
      <c r="N98" s="113"/>
    </row>
    <row r="99" spans="1:14" ht="33.75" customHeight="1">
      <c r="A99" s="108"/>
      <c r="B99" s="140"/>
      <c r="C99" s="140"/>
      <c r="D99" s="18">
        <v>2023</v>
      </c>
      <c r="E99" s="52">
        <f t="shared" si="37"/>
        <v>29.57</v>
      </c>
      <c r="F99" s="53"/>
      <c r="G99" s="53">
        <f t="shared" si="38"/>
        <v>0</v>
      </c>
      <c r="H99" s="53"/>
      <c r="I99" s="53">
        <v>0</v>
      </c>
      <c r="J99" s="21">
        <v>29.57</v>
      </c>
      <c r="K99" s="132"/>
      <c r="L99" s="56"/>
      <c r="M99" s="112"/>
      <c r="N99" s="113"/>
    </row>
    <row r="100" spans="1:14" ht="33.75" customHeight="1">
      <c r="A100" s="108"/>
      <c r="B100" s="140"/>
      <c r="C100" s="140"/>
      <c r="D100" s="18">
        <v>2024</v>
      </c>
      <c r="E100" s="52">
        <f t="shared" si="37"/>
        <v>50</v>
      </c>
      <c r="F100" s="53"/>
      <c r="G100" s="53">
        <f t="shared" si="38"/>
        <v>0</v>
      </c>
      <c r="H100" s="53"/>
      <c r="I100" s="53">
        <v>0</v>
      </c>
      <c r="J100" s="21">
        <v>50</v>
      </c>
      <c r="K100" s="132"/>
      <c r="L100" s="56"/>
      <c r="M100" s="112"/>
      <c r="N100" s="113"/>
    </row>
    <row r="101" spans="1:14" ht="33.75" customHeight="1">
      <c r="A101" s="108"/>
      <c r="B101" s="140"/>
      <c r="C101" s="140"/>
      <c r="D101" s="18">
        <v>2025</v>
      </c>
      <c r="E101" s="52">
        <f t="shared" si="37"/>
        <v>50</v>
      </c>
      <c r="F101" s="53"/>
      <c r="G101" s="53">
        <f t="shared" si="38"/>
        <v>0</v>
      </c>
      <c r="H101" s="53"/>
      <c r="I101" s="53">
        <v>0</v>
      </c>
      <c r="J101" s="21">
        <v>50</v>
      </c>
      <c r="K101" s="132"/>
      <c r="L101" s="56"/>
      <c r="M101" s="112"/>
      <c r="N101" s="113"/>
    </row>
    <row r="102" spans="1:14" ht="27.75" customHeight="1">
      <c r="A102" s="108" t="s">
        <v>84</v>
      </c>
      <c r="B102" s="49" t="s">
        <v>85</v>
      </c>
      <c r="C102" s="49"/>
      <c r="D102" s="18">
        <v>2017</v>
      </c>
      <c r="E102" s="52">
        <f t="shared" si="37"/>
        <v>65.3997</v>
      </c>
      <c r="F102" s="53"/>
      <c r="G102" s="53">
        <f t="shared" si="38"/>
        <v>0</v>
      </c>
      <c r="H102" s="132"/>
      <c r="I102" s="53">
        <v>0</v>
      </c>
      <c r="J102" s="21">
        <f>70-4.6003</f>
        <v>65.3997</v>
      </c>
      <c r="K102" s="141"/>
      <c r="L102" s="56" t="s">
        <v>78</v>
      </c>
      <c r="M102" s="112" t="s">
        <v>86</v>
      </c>
      <c r="N102" s="113"/>
    </row>
    <row r="103" spans="1:14" ht="30.75" customHeight="1">
      <c r="A103" s="108"/>
      <c r="B103" s="49"/>
      <c r="C103" s="49"/>
      <c r="D103" s="18">
        <v>2018</v>
      </c>
      <c r="E103" s="52">
        <f t="shared" si="37"/>
        <v>60</v>
      </c>
      <c r="F103" s="53"/>
      <c r="G103" s="52">
        <f t="shared" si="38"/>
        <v>0</v>
      </c>
      <c r="H103" s="141"/>
      <c r="I103" s="53">
        <v>0</v>
      </c>
      <c r="J103" s="21">
        <v>60</v>
      </c>
      <c r="K103" s="141"/>
      <c r="L103" s="56" t="s">
        <v>78</v>
      </c>
      <c r="M103" s="112"/>
      <c r="N103" s="113"/>
    </row>
    <row r="104" spans="1:14" ht="24.75" customHeight="1">
      <c r="A104" s="108"/>
      <c r="B104" s="49"/>
      <c r="C104" s="49"/>
      <c r="D104" s="18">
        <v>2019</v>
      </c>
      <c r="E104" s="52">
        <f t="shared" si="37"/>
        <v>79</v>
      </c>
      <c r="F104" s="53"/>
      <c r="G104" s="52">
        <f t="shared" si="38"/>
        <v>0</v>
      </c>
      <c r="H104" s="141"/>
      <c r="I104" s="53">
        <v>0</v>
      </c>
      <c r="J104" s="21">
        <f>60+19</f>
        <v>79</v>
      </c>
      <c r="K104" s="141"/>
      <c r="L104" s="56" t="s">
        <v>78</v>
      </c>
      <c r="M104" s="112"/>
      <c r="N104" s="113"/>
    </row>
    <row r="105" spans="1:14" ht="37.5" customHeight="1">
      <c r="A105" s="108"/>
      <c r="B105" s="49"/>
      <c r="C105" s="49"/>
      <c r="D105" s="18">
        <v>2020</v>
      </c>
      <c r="E105" s="52">
        <f t="shared" si="37"/>
        <v>101.781</v>
      </c>
      <c r="F105" s="53"/>
      <c r="G105" s="52">
        <f t="shared" si="38"/>
        <v>0</v>
      </c>
      <c r="H105" s="141"/>
      <c r="I105" s="53">
        <v>0</v>
      </c>
      <c r="J105" s="21">
        <f>60+1.781+40</f>
        <v>101.781</v>
      </c>
      <c r="K105" s="141"/>
      <c r="L105" s="56" t="s">
        <v>78</v>
      </c>
      <c r="M105" s="112"/>
      <c r="N105" s="113"/>
    </row>
    <row r="106" spans="1:14" ht="24.75" customHeight="1">
      <c r="A106" s="108"/>
      <c r="B106" s="49"/>
      <c r="C106" s="49"/>
      <c r="D106" s="18">
        <v>2021</v>
      </c>
      <c r="E106" s="52">
        <f t="shared" si="37"/>
        <v>120.84</v>
      </c>
      <c r="F106" s="53"/>
      <c r="G106" s="52">
        <f t="shared" si="38"/>
        <v>0</v>
      </c>
      <c r="H106" s="141"/>
      <c r="I106" s="53">
        <v>0</v>
      </c>
      <c r="J106" s="21">
        <f>70.84+50</f>
        <v>120.84</v>
      </c>
      <c r="K106" s="141"/>
      <c r="L106" s="56"/>
      <c r="M106" s="112"/>
      <c r="N106" s="113"/>
    </row>
    <row r="107" spans="1:14" ht="27.75" customHeight="1">
      <c r="A107" s="108"/>
      <c r="B107" s="49"/>
      <c r="C107" s="49"/>
      <c r="D107" s="18">
        <v>2022</v>
      </c>
      <c r="E107" s="52">
        <f t="shared" si="37"/>
        <v>116.9</v>
      </c>
      <c r="F107" s="53"/>
      <c r="G107" s="52">
        <f t="shared" si="38"/>
        <v>0</v>
      </c>
      <c r="H107" s="141"/>
      <c r="I107" s="53">
        <v>0</v>
      </c>
      <c r="J107" s="21">
        <v>116.9</v>
      </c>
      <c r="K107" s="141"/>
      <c r="L107" s="56" t="s">
        <v>78</v>
      </c>
      <c r="M107" s="112"/>
      <c r="N107" s="113"/>
    </row>
    <row r="108" spans="1:14" ht="24.75" customHeight="1">
      <c r="A108" s="108"/>
      <c r="B108" s="49"/>
      <c r="C108" s="49"/>
      <c r="D108" s="18">
        <v>2023</v>
      </c>
      <c r="E108" s="52">
        <f t="shared" si="37"/>
        <v>89.5</v>
      </c>
      <c r="F108" s="53"/>
      <c r="G108" s="52">
        <f t="shared" si="38"/>
        <v>0</v>
      </c>
      <c r="H108" s="141"/>
      <c r="I108" s="53">
        <v>0</v>
      </c>
      <c r="J108" s="21">
        <v>89.5</v>
      </c>
      <c r="K108" s="142"/>
      <c r="L108" s="56"/>
      <c r="M108" s="112"/>
      <c r="N108" s="113"/>
    </row>
    <row r="109" spans="1:14" ht="24.75" customHeight="1">
      <c r="A109" s="108"/>
      <c r="B109" s="49"/>
      <c r="C109" s="49"/>
      <c r="D109" s="18">
        <v>2024</v>
      </c>
      <c r="E109" s="52">
        <f t="shared" si="37"/>
        <v>200</v>
      </c>
      <c r="F109" s="53"/>
      <c r="G109" s="52">
        <f t="shared" si="38"/>
        <v>0</v>
      </c>
      <c r="H109" s="141"/>
      <c r="I109" s="53">
        <v>0</v>
      </c>
      <c r="J109" s="21">
        <v>200</v>
      </c>
      <c r="K109" s="142"/>
      <c r="L109" s="56"/>
      <c r="M109" s="112"/>
      <c r="N109" s="113"/>
    </row>
    <row r="110" spans="1:14" ht="24.75" customHeight="1">
      <c r="A110" s="108"/>
      <c r="B110" s="49"/>
      <c r="C110" s="49"/>
      <c r="D110" s="18">
        <v>2025</v>
      </c>
      <c r="E110" s="52">
        <f t="shared" si="37"/>
        <v>200</v>
      </c>
      <c r="F110" s="53"/>
      <c r="G110" s="52">
        <f t="shared" si="38"/>
        <v>0</v>
      </c>
      <c r="H110" s="141"/>
      <c r="I110" s="53">
        <v>0</v>
      </c>
      <c r="J110" s="21">
        <v>200</v>
      </c>
      <c r="K110" s="142"/>
      <c r="L110" s="56"/>
      <c r="M110" s="112"/>
      <c r="N110" s="113"/>
    </row>
    <row r="111" spans="1:14" ht="24.75" customHeight="1">
      <c r="A111" s="108" t="s">
        <v>87</v>
      </c>
      <c r="B111" s="49" t="s">
        <v>88</v>
      </c>
      <c r="C111" s="49"/>
      <c r="D111" s="18">
        <v>2017</v>
      </c>
      <c r="E111" s="52">
        <f t="shared" si="37"/>
        <v>27.52</v>
      </c>
      <c r="F111" s="53"/>
      <c r="G111" s="53">
        <f t="shared" si="38"/>
        <v>0</v>
      </c>
      <c r="H111" s="52"/>
      <c r="I111" s="53">
        <v>0</v>
      </c>
      <c r="J111" s="21">
        <v>27.52</v>
      </c>
      <c r="K111" s="52"/>
      <c r="L111" s="56" t="s">
        <v>80</v>
      </c>
      <c r="M111" s="112" t="s">
        <v>89</v>
      </c>
      <c r="N111" s="113"/>
    </row>
    <row r="112" spans="1:14" ht="16.5" customHeight="1">
      <c r="A112" s="108"/>
      <c r="B112" s="49"/>
      <c r="C112" s="49"/>
      <c r="D112" s="18"/>
      <c r="E112" s="52"/>
      <c r="F112" s="53"/>
      <c r="G112" s="53"/>
      <c r="H112" s="52"/>
      <c r="I112" s="53"/>
      <c r="J112" s="21"/>
      <c r="K112" s="52"/>
      <c r="L112" s="56"/>
      <c r="M112" s="112"/>
      <c r="N112" s="113"/>
    </row>
    <row r="113" spans="1:14" ht="28.5" customHeight="1">
      <c r="A113" s="108"/>
      <c r="B113" s="49"/>
      <c r="C113" s="49"/>
      <c r="D113" s="18">
        <v>2018</v>
      </c>
      <c r="E113" s="52">
        <f aca="true" t="shared" si="39" ref="E113:E127">F113+G113+J113+K113</f>
        <v>28.369999999999997</v>
      </c>
      <c r="F113" s="53"/>
      <c r="G113" s="53">
        <f aca="true" t="shared" si="40" ref="G113:G141">H113+I113</f>
        <v>0</v>
      </c>
      <c r="H113" s="141"/>
      <c r="I113" s="53">
        <v>0</v>
      </c>
      <c r="J113" s="21">
        <f>70-41.63</f>
        <v>28.369999999999997</v>
      </c>
      <c r="K113" s="141"/>
      <c r="L113" s="56" t="s">
        <v>80</v>
      </c>
      <c r="M113" s="112"/>
      <c r="N113" s="113"/>
    </row>
    <row r="114" spans="1:14" ht="30.75" customHeight="1">
      <c r="A114" s="108"/>
      <c r="B114" s="49"/>
      <c r="C114" s="49"/>
      <c r="D114" s="18">
        <v>2019</v>
      </c>
      <c r="E114" s="52">
        <f t="shared" si="39"/>
        <v>28.37</v>
      </c>
      <c r="F114" s="53"/>
      <c r="G114" s="53">
        <f t="shared" si="40"/>
        <v>0</v>
      </c>
      <c r="H114" s="141"/>
      <c r="I114" s="53">
        <v>0</v>
      </c>
      <c r="J114" s="21">
        <v>28.37</v>
      </c>
      <c r="K114" s="141"/>
      <c r="L114" s="56" t="s">
        <v>80</v>
      </c>
      <c r="M114" s="112"/>
      <c r="N114" s="113"/>
    </row>
    <row r="115" spans="1:14" ht="29.25" customHeight="1">
      <c r="A115" s="108"/>
      <c r="B115" s="49"/>
      <c r="C115" s="49"/>
      <c r="D115" s="18">
        <v>2020</v>
      </c>
      <c r="E115" s="52">
        <f t="shared" si="39"/>
        <v>2.0150000000000006</v>
      </c>
      <c r="F115" s="53"/>
      <c r="G115" s="53">
        <f t="shared" si="40"/>
        <v>0</v>
      </c>
      <c r="H115" s="141"/>
      <c r="I115" s="53">
        <v>0</v>
      </c>
      <c r="J115" s="21">
        <f>28.37-26.355</f>
        <v>2.0150000000000006</v>
      </c>
      <c r="K115" s="141"/>
      <c r="L115" s="56" t="s">
        <v>80</v>
      </c>
      <c r="M115" s="112"/>
      <c r="N115" s="113"/>
    </row>
    <row r="116" spans="1:14" ht="31.5" customHeight="1">
      <c r="A116" s="108"/>
      <c r="B116" s="49"/>
      <c r="C116" s="49"/>
      <c r="D116" s="18">
        <v>2021</v>
      </c>
      <c r="E116" s="52">
        <f t="shared" si="39"/>
        <v>0</v>
      </c>
      <c r="F116" s="53"/>
      <c r="G116" s="53">
        <f t="shared" si="40"/>
        <v>0</v>
      </c>
      <c r="H116" s="141"/>
      <c r="I116" s="53">
        <v>0</v>
      </c>
      <c r="J116" s="21">
        <v>0</v>
      </c>
      <c r="K116" s="141"/>
      <c r="L116" s="56" t="s">
        <v>80</v>
      </c>
      <c r="M116" s="112"/>
      <c r="N116" s="113"/>
    </row>
    <row r="117" spans="1:14" ht="32.25" customHeight="1">
      <c r="A117" s="108"/>
      <c r="B117" s="49"/>
      <c r="C117" s="49"/>
      <c r="D117" s="18">
        <v>2022</v>
      </c>
      <c r="E117" s="52">
        <f t="shared" si="39"/>
        <v>2.5</v>
      </c>
      <c r="F117" s="53"/>
      <c r="G117" s="53">
        <f t="shared" si="40"/>
        <v>0</v>
      </c>
      <c r="H117" s="141"/>
      <c r="I117" s="53">
        <v>0</v>
      </c>
      <c r="J117" s="21">
        <v>2.5</v>
      </c>
      <c r="K117" s="141"/>
      <c r="L117" s="56" t="s">
        <v>80</v>
      </c>
      <c r="M117" s="112"/>
      <c r="N117" s="113"/>
    </row>
    <row r="118" spans="1:14" ht="24.75" customHeight="1">
      <c r="A118" s="108"/>
      <c r="B118" s="49"/>
      <c r="C118" s="49"/>
      <c r="D118" s="18">
        <v>2023</v>
      </c>
      <c r="E118" s="52">
        <f t="shared" si="39"/>
        <v>0</v>
      </c>
      <c r="F118" s="53"/>
      <c r="G118" s="53">
        <f t="shared" si="40"/>
        <v>0</v>
      </c>
      <c r="H118" s="141"/>
      <c r="I118" s="53">
        <v>0</v>
      </c>
      <c r="J118" s="21">
        <v>0</v>
      </c>
      <c r="K118" s="141"/>
      <c r="L118" s="56"/>
      <c r="M118" s="112"/>
      <c r="N118" s="113"/>
    </row>
    <row r="119" spans="1:14" ht="24.75" customHeight="1">
      <c r="A119" s="108"/>
      <c r="B119" s="49"/>
      <c r="C119" s="49"/>
      <c r="D119" s="18">
        <v>2024</v>
      </c>
      <c r="E119" s="52">
        <f t="shared" si="39"/>
        <v>5</v>
      </c>
      <c r="F119" s="53"/>
      <c r="G119" s="53">
        <f t="shared" si="40"/>
        <v>0</v>
      </c>
      <c r="H119" s="141"/>
      <c r="I119" s="53">
        <v>0</v>
      </c>
      <c r="J119" s="21">
        <v>5</v>
      </c>
      <c r="K119" s="141"/>
      <c r="L119" s="56"/>
      <c r="M119" s="112"/>
      <c r="N119" s="113"/>
    </row>
    <row r="120" spans="1:14" ht="24.75" customHeight="1">
      <c r="A120" s="108"/>
      <c r="B120" s="49"/>
      <c r="C120" s="49"/>
      <c r="D120" s="18">
        <v>2025</v>
      </c>
      <c r="E120" s="52">
        <f t="shared" si="39"/>
        <v>5</v>
      </c>
      <c r="F120" s="53"/>
      <c r="G120" s="53">
        <f t="shared" si="40"/>
        <v>0</v>
      </c>
      <c r="H120" s="141"/>
      <c r="I120" s="53">
        <v>0</v>
      </c>
      <c r="J120" s="21">
        <v>5</v>
      </c>
      <c r="K120" s="141"/>
      <c r="L120" s="56"/>
      <c r="M120" s="112"/>
      <c r="N120" s="113"/>
    </row>
    <row r="121" spans="1:14" ht="24.75" customHeight="1">
      <c r="A121" s="143" t="s">
        <v>90</v>
      </c>
      <c r="B121" s="144" t="s">
        <v>91</v>
      </c>
      <c r="C121" s="144"/>
      <c r="D121" s="18">
        <v>2017</v>
      </c>
      <c r="E121" s="52">
        <f t="shared" si="39"/>
        <v>50</v>
      </c>
      <c r="F121" s="53"/>
      <c r="G121" s="53">
        <f t="shared" si="40"/>
        <v>50</v>
      </c>
      <c r="H121" s="145"/>
      <c r="I121" s="146">
        <v>50</v>
      </c>
      <c r="J121" s="21">
        <v>0</v>
      </c>
      <c r="K121" s="147"/>
      <c r="L121" s="56" t="s">
        <v>26</v>
      </c>
      <c r="M121" s="148" t="s">
        <v>92</v>
      </c>
      <c r="N121" s="149"/>
    </row>
    <row r="122" spans="1:14" ht="24.75" customHeight="1">
      <c r="A122" s="143"/>
      <c r="B122" s="144"/>
      <c r="C122" s="144"/>
      <c r="D122" s="18">
        <v>2018</v>
      </c>
      <c r="E122" s="52">
        <f t="shared" si="39"/>
        <v>0</v>
      </c>
      <c r="F122" s="53"/>
      <c r="G122" s="53">
        <f t="shared" si="40"/>
        <v>0</v>
      </c>
      <c r="H122" s="53"/>
      <c r="I122" s="53">
        <v>0</v>
      </c>
      <c r="J122" s="21">
        <v>0</v>
      </c>
      <c r="K122" s="147"/>
      <c r="L122" s="56"/>
      <c r="M122" s="148"/>
      <c r="N122" s="149"/>
    </row>
    <row r="123" spans="1:14" ht="24.75" customHeight="1">
      <c r="A123" s="143"/>
      <c r="B123" s="144"/>
      <c r="C123" s="144"/>
      <c r="D123" s="18">
        <v>2019</v>
      </c>
      <c r="E123" s="52">
        <f t="shared" si="39"/>
        <v>50</v>
      </c>
      <c r="F123" s="53"/>
      <c r="G123" s="53">
        <f t="shared" si="40"/>
        <v>50</v>
      </c>
      <c r="H123" s="53"/>
      <c r="I123" s="53">
        <v>50</v>
      </c>
      <c r="J123" s="21">
        <v>0</v>
      </c>
      <c r="K123" s="147"/>
      <c r="L123" s="56" t="s">
        <v>27</v>
      </c>
      <c r="M123" s="148"/>
      <c r="N123" s="149"/>
    </row>
    <row r="124" spans="1:14" ht="24.75" customHeight="1">
      <c r="A124" s="143"/>
      <c r="B124" s="144"/>
      <c r="C124" s="144"/>
      <c r="D124" s="18">
        <v>2020</v>
      </c>
      <c r="E124" s="52">
        <f t="shared" si="39"/>
        <v>0</v>
      </c>
      <c r="F124" s="53"/>
      <c r="G124" s="53">
        <f t="shared" si="40"/>
        <v>0</v>
      </c>
      <c r="H124" s="53"/>
      <c r="I124" s="53">
        <v>0</v>
      </c>
      <c r="J124" s="21">
        <v>0</v>
      </c>
      <c r="K124" s="147"/>
      <c r="L124" s="56"/>
      <c r="M124" s="148"/>
      <c r="N124" s="149"/>
    </row>
    <row r="125" spans="1:14" ht="24.75" customHeight="1">
      <c r="A125" s="143"/>
      <c r="B125" s="144"/>
      <c r="C125" s="144"/>
      <c r="D125" s="18">
        <v>2021</v>
      </c>
      <c r="E125" s="52">
        <f t="shared" si="39"/>
        <v>0</v>
      </c>
      <c r="F125" s="53"/>
      <c r="G125" s="53">
        <f t="shared" si="40"/>
        <v>0</v>
      </c>
      <c r="H125" s="53"/>
      <c r="I125" s="53">
        <v>0</v>
      </c>
      <c r="J125" s="21">
        <v>0</v>
      </c>
      <c r="K125" s="147"/>
      <c r="L125" s="56"/>
      <c r="M125" s="148"/>
      <c r="N125" s="149"/>
    </row>
    <row r="126" spans="1:14" ht="24.75" customHeight="1">
      <c r="A126" s="150"/>
      <c r="B126" s="151"/>
      <c r="C126" s="151"/>
      <c r="D126" s="18">
        <v>2022</v>
      </c>
      <c r="E126" s="52">
        <f t="shared" si="39"/>
        <v>50</v>
      </c>
      <c r="F126" s="53"/>
      <c r="G126" s="53">
        <f t="shared" si="40"/>
        <v>0</v>
      </c>
      <c r="H126" s="53"/>
      <c r="I126" s="53">
        <v>0</v>
      </c>
      <c r="J126" s="21">
        <v>50</v>
      </c>
      <c r="K126" s="147"/>
      <c r="L126" s="56"/>
      <c r="M126" s="152"/>
      <c r="N126" s="149"/>
    </row>
    <row r="127" spans="1:14" ht="30.75" customHeight="1">
      <c r="A127" s="153" t="s">
        <v>93</v>
      </c>
      <c r="B127" s="154" t="s">
        <v>94</v>
      </c>
      <c r="C127" s="154"/>
      <c r="D127" s="155">
        <v>2017</v>
      </c>
      <c r="E127" s="156">
        <f t="shared" si="39"/>
        <v>627.047</v>
      </c>
      <c r="F127" s="157"/>
      <c r="G127" s="158">
        <f t="shared" si="40"/>
        <v>0</v>
      </c>
      <c r="H127" s="159">
        <f>H128+H129+H130+H131+H132+H133</f>
        <v>0</v>
      </c>
      <c r="I127" s="158">
        <f>I128+I129+I130+I131+I132+I133</f>
        <v>0</v>
      </c>
      <c r="J127" s="160">
        <f>J128+J129+J130+J131+J132+J133</f>
        <v>627.047</v>
      </c>
      <c r="K127" s="158">
        <f>K128+K129+K130+K131+K132+K133</f>
        <v>0</v>
      </c>
      <c r="L127" s="161"/>
      <c r="M127" s="112" t="s">
        <v>95</v>
      </c>
      <c r="N127" s="113"/>
    </row>
    <row r="128" spans="1:14" ht="39.75" customHeight="1">
      <c r="A128" s="153"/>
      <c r="B128" s="154"/>
      <c r="C128" s="154"/>
      <c r="D128" s="155"/>
      <c r="E128" s="156"/>
      <c r="F128" s="61"/>
      <c r="G128" s="61">
        <f t="shared" si="40"/>
        <v>0</v>
      </c>
      <c r="H128" s="61"/>
      <c r="I128" s="162"/>
      <c r="J128" s="62">
        <f>50+13.94</f>
        <v>63.94</v>
      </c>
      <c r="K128" s="163"/>
      <c r="L128" s="134" t="s">
        <v>96</v>
      </c>
      <c r="M128" s="112"/>
      <c r="N128" s="113"/>
    </row>
    <row r="129" spans="1:14" ht="24.75" customHeight="1">
      <c r="A129" s="153"/>
      <c r="B129" s="154"/>
      <c r="C129" s="154"/>
      <c r="D129" s="155"/>
      <c r="E129" s="156"/>
      <c r="F129" s="52"/>
      <c r="G129" s="52">
        <f t="shared" si="40"/>
        <v>0</v>
      </c>
      <c r="H129" s="141"/>
      <c r="I129" s="53"/>
      <c r="J129" s="21">
        <v>113.23</v>
      </c>
      <c r="K129" s="141"/>
      <c r="L129" s="56" t="s">
        <v>97</v>
      </c>
      <c r="M129" s="112"/>
      <c r="N129" s="113"/>
    </row>
    <row r="130" spans="1:14" ht="24.75" customHeight="1">
      <c r="A130" s="153"/>
      <c r="B130" s="154"/>
      <c r="C130" s="154"/>
      <c r="D130" s="155"/>
      <c r="E130" s="156"/>
      <c r="F130" s="52"/>
      <c r="G130" s="52">
        <f t="shared" si="40"/>
        <v>0</v>
      </c>
      <c r="H130" s="141"/>
      <c r="I130" s="53"/>
      <c r="J130" s="21">
        <v>205.427</v>
      </c>
      <c r="K130" s="141"/>
      <c r="L130" s="56" t="s">
        <v>98</v>
      </c>
      <c r="M130" s="112"/>
      <c r="N130" s="113"/>
    </row>
    <row r="131" spans="1:14" ht="24.75" customHeight="1">
      <c r="A131" s="153"/>
      <c r="B131" s="154"/>
      <c r="C131" s="154"/>
      <c r="D131" s="155"/>
      <c r="E131" s="156"/>
      <c r="F131" s="52"/>
      <c r="G131" s="52">
        <f t="shared" si="40"/>
        <v>0</v>
      </c>
      <c r="H131" s="141"/>
      <c r="I131" s="53"/>
      <c r="J131" s="21">
        <v>13.23</v>
      </c>
      <c r="K131" s="141"/>
      <c r="L131" s="56" t="s">
        <v>99</v>
      </c>
      <c r="M131" s="112"/>
      <c r="N131" s="113"/>
    </row>
    <row r="132" spans="1:14" ht="24.75" customHeight="1">
      <c r="A132" s="153"/>
      <c r="B132" s="154"/>
      <c r="C132" s="154"/>
      <c r="D132" s="155"/>
      <c r="E132" s="156"/>
      <c r="F132" s="52"/>
      <c r="G132" s="52">
        <f t="shared" si="40"/>
        <v>0</v>
      </c>
      <c r="H132" s="141"/>
      <c r="I132" s="53"/>
      <c r="J132" s="21">
        <v>161.09</v>
      </c>
      <c r="K132" s="141"/>
      <c r="L132" s="56" t="s">
        <v>100</v>
      </c>
      <c r="M132" s="112"/>
      <c r="N132" s="113"/>
    </row>
    <row r="133" spans="1:14" ht="24.75" customHeight="1">
      <c r="A133" s="153"/>
      <c r="B133" s="154"/>
      <c r="C133" s="154"/>
      <c r="D133" s="155"/>
      <c r="E133" s="156"/>
      <c r="F133" s="164"/>
      <c r="G133" s="164">
        <f t="shared" si="40"/>
        <v>0</v>
      </c>
      <c r="H133" s="165"/>
      <c r="I133" s="166"/>
      <c r="J133" s="167">
        <f>15.18+18+36.45+0.5</f>
        <v>70.13</v>
      </c>
      <c r="K133" s="165"/>
      <c r="L133" s="168" t="s">
        <v>101</v>
      </c>
      <c r="M133" s="112"/>
      <c r="N133" s="113"/>
    </row>
    <row r="134" spans="1:14" ht="24.75" customHeight="1">
      <c r="A134" s="153"/>
      <c r="B134" s="154"/>
      <c r="C134" s="154"/>
      <c r="D134" s="169">
        <v>2018</v>
      </c>
      <c r="E134" s="170">
        <f>F134+G134+J134+K134</f>
        <v>2781.9159799999998</v>
      </c>
      <c r="F134" s="171"/>
      <c r="G134" s="172">
        <f t="shared" si="40"/>
        <v>0</v>
      </c>
      <c r="H134" s="172">
        <f>H135+H136+H137+H138+H139+H140+H141</f>
        <v>0</v>
      </c>
      <c r="I134" s="172">
        <f>I135+I136+I137+I138+I139+I140+I141</f>
        <v>0</v>
      </c>
      <c r="J134" s="173">
        <f>J135+J136+J137+J138+J139+J140+J141</f>
        <v>2781.9159799999998</v>
      </c>
      <c r="K134" s="172">
        <f>K135+K136+K137+K138+K139+K140+K141</f>
        <v>0</v>
      </c>
      <c r="L134" s="174"/>
      <c r="M134" s="112"/>
      <c r="N134" s="113"/>
    </row>
    <row r="135" spans="1:14" ht="45.75" customHeight="1">
      <c r="A135" s="153"/>
      <c r="B135" s="154"/>
      <c r="C135" s="154"/>
      <c r="D135" s="169"/>
      <c r="E135" s="170"/>
      <c r="F135" s="175"/>
      <c r="G135" s="176">
        <f t="shared" si="40"/>
        <v>0</v>
      </c>
      <c r="H135" s="175"/>
      <c r="I135" s="176"/>
      <c r="J135" s="177">
        <v>0</v>
      </c>
      <c r="K135" s="178"/>
      <c r="L135" s="134" t="s">
        <v>96</v>
      </c>
      <c r="M135" s="112"/>
      <c r="N135" s="113"/>
    </row>
    <row r="136" spans="1:14" ht="24.75" customHeight="1">
      <c r="A136" s="153"/>
      <c r="B136" s="154"/>
      <c r="C136" s="154"/>
      <c r="D136" s="169"/>
      <c r="E136" s="170"/>
      <c r="F136" s="114"/>
      <c r="G136" s="115">
        <f t="shared" si="40"/>
        <v>0</v>
      </c>
      <c r="H136" s="114"/>
      <c r="I136" s="115"/>
      <c r="J136" s="116">
        <f>12.64+1186-181.18-36.69771</f>
        <v>980.76229</v>
      </c>
      <c r="K136" s="179"/>
      <c r="L136" s="56" t="s">
        <v>97</v>
      </c>
      <c r="M136" s="112"/>
      <c r="N136" s="113"/>
    </row>
    <row r="137" spans="1:14" ht="24.75" customHeight="1">
      <c r="A137" s="153"/>
      <c r="B137" s="154"/>
      <c r="C137" s="154"/>
      <c r="D137" s="169"/>
      <c r="E137" s="170"/>
      <c r="F137" s="114"/>
      <c r="G137" s="115">
        <f t="shared" si="40"/>
        <v>0</v>
      </c>
      <c r="H137" s="114"/>
      <c r="I137" s="115"/>
      <c r="J137" s="116">
        <f>12.64+445+788.79-277.21131</f>
        <v>969.2186899999998</v>
      </c>
      <c r="K137" s="179"/>
      <c r="L137" s="56" t="s">
        <v>98</v>
      </c>
      <c r="M137" s="112"/>
      <c r="N137" s="113"/>
    </row>
    <row r="138" spans="1:14" ht="24.75" customHeight="1">
      <c r="A138" s="153"/>
      <c r="B138" s="154"/>
      <c r="C138" s="154"/>
      <c r="D138" s="169"/>
      <c r="E138" s="170"/>
      <c r="F138" s="114"/>
      <c r="G138" s="115">
        <f t="shared" si="40"/>
        <v>0</v>
      </c>
      <c r="H138" s="114"/>
      <c r="I138" s="115"/>
      <c r="J138" s="116">
        <f>12.64+437.6-55.429</f>
        <v>394.81100000000004</v>
      </c>
      <c r="K138" s="179"/>
      <c r="L138" s="56" t="s">
        <v>99</v>
      </c>
      <c r="M138" s="112"/>
      <c r="N138" s="113"/>
    </row>
    <row r="139" spans="1:14" ht="24.75" customHeight="1">
      <c r="A139" s="153"/>
      <c r="B139" s="154"/>
      <c r="C139" s="154"/>
      <c r="D139" s="169"/>
      <c r="E139" s="170"/>
      <c r="F139" s="114"/>
      <c r="G139" s="115">
        <f t="shared" si="40"/>
        <v>0</v>
      </c>
      <c r="H139" s="114"/>
      <c r="I139" s="115"/>
      <c r="J139" s="116">
        <f>30.36+107+120+26.184</f>
        <v>283.54400000000004</v>
      </c>
      <c r="K139" s="179"/>
      <c r="L139" s="56" t="s">
        <v>100</v>
      </c>
      <c r="M139" s="112"/>
      <c r="N139" s="113"/>
    </row>
    <row r="140" spans="1:14" ht="24.75" customHeight="1">
      <c r="A140" s="153"/>
      <c r="B140" s="154"/>
      <c r="C140" s="154"/>
      <c r="D140" s="169"/>
      <c r="E140" s="170"/>
      <c r="F140" s="114"/>
      <c r="G140" s="115">
        <f t="shared" si="40"/>
        <v>0</v>
      </c>
      <c r="H140" s="114"/>
      <c r="I140" s="115"/>
      <c r="J140" s="116">
        <f>15.18+165-26.6</f>
        <v>153.58</v>
      </c>
      <c r="K140" s="179"/>
      <c r="L140" s="56" t="s">
        <v>101</v>
      </c>
      <c r="M140" s="112"/>
      <c r="N140" s="113"/>
    </row>
    <row r="141" spans="1:14" ht="24.75" customHeight="1">
      <c r="A141" s="153"/>
      <c r="B141" s="154"/>
      <c r="C141" s="154"/>
      <c r="D141" s="169"/>
      <c r="E141" s="170"/>
      <c r="F141" s="180"/>
      <c r="G141" s="181">
        <f t="shared" si="40"/>
        <v>0</v>
      </c>
      <c r="H141" s="180"/>
      <c r="I141" s="181"/>
      <c r="J141" s="182">
        <v>0</v>
      </c>
      <c r="K141" s="183"/>
      <c r="L141" s="168" t="s">
        <v>102</v>
      </c>
      <c r="M141" s="112"/>
      <c r="N141" s="113"/>
    </row>
    <row r="142" spans="1:14" ht="24.75" customHeight="1">
      <c r="A142" s="153"/>
      <c r="B142" s="154"/>
      <c r="C142" s="154"/>
      <c r="D142" s="169">
        <v>2019</v>
      </c>
      <c r="E142" s="170">
        <f>F142+G142+J142+K142</f>
        <v>387.68</v>
      </c>
      <c r="F142" s="171">
        <f>SUM(F143:F149)</f>
        <v>0</v>
      </c>
      <c r="G142" s="172">
        <f>SUM(G143:G149)</f>
        <v>0</v>
      </c>
      <c r="H142" s="172">
        <f>SUM(H143:H149)</f>
        <v>0</v>
      </c>
      <c r="I142" s="172">
        <f>SUM(I143:I149)</f>
        <v>0</v>
      </c>
      <c r="J142" s="173">
        <f>SUM(J143:J149)</f>
        <v>387.68</v>
      </c>
      <c r="K142" s="172">
        <f>SUM(K143:K149)</f>
        <v>0</v>
      </c>
      <c r="L142" s="174"/>
      <c r="M142" s="112"/>
      <c r="N142" s="113"/>
    </row>
    <row r="143" spans="1:14" ht="41.25" customHeight="1">
      <c r="A143" s="153"/>
      <c r="B143" s="154"/>
      <c r="C143" s="154"/>
      <c r="D143" s="169"/>
      <c r="E143" s="170"/>
      <c r="F143" s="175"/>
      <c r="G143" s="176">
        <f aca="true" t="shared" si="41" ref="G143:G149">H143+I143</f>
        <v>0</v>
      </c>
      <c r="H143" s="175"/>
      <c r="I143" s="176"/>
      <c r="J143" s="177">
        <v>0</v>
      </c>
      <c r="K143" s="178"/>
      <c r="L143" s="134" t="s">
        <v>96</v>
      </c>
      <c r="M143" s="112"/>
      <c r="N143" s="113"/>
    </row>
    <row r="144" spans="1:14" ht="24.75" customHeight="1">
      <c r="A144" s="153"/>
      <c r="B144" s="154"/>
      <c r="C144" s="154"/>
      <c r="D144" s="169"/>
      <c r="E144" s="170"/>
      <c r="F144" s="114"/>
      <c r="G144" s="115">
        <f t="shared" si="41"/>
        <v>0</v>
      </c>
      <c r="H144" s="114"/>
      <c r="I144" s="115"/>
      <c r="J144" s="116">
        <v>12.64</v>
      </c>
      <c r="K144" s="179"/>
      <c r="L144" s="56" t="s">
        <v>97</v>
      </c>
      <c r="M144" s="112"/>
      <c r="N144" s="113"/>
    </row>
    <row r="145" spans="1:14" ht="24.75" customHeight="1">
      <c r="A145" s="153"/>
      <c r="B145" s="154"/>
      <c r="C145" s="154"/>
      <c r="D145" s="169"/>
      <c r="E145" s="170"/>
      <c r="F145" s="114"/>
      <c r="G145" s="115">
        <f t="shared" si="41"/>
        <v>0</v>
      </c>
      <c r="H145" s="114"/>
      <c r="I145" s="115"/>
      <c r="J145" s="116">
        <v>12.64</v>
      </c>
      <c r="K145" s="179"/>
      <c r="L145" s="56" t="s">
        <v>98</v>
      </c>
      <c r="M145" s="112"/>
      <c r="N145" s="113"/>
    </row>
    <row r="146" spans="1:14" ht="24.75" customHeight="1">
      <c r="A146" s="153"/>
      <c r="B146" s="154"/>
      <c r="C146" s="154"/>
      <c r="D146" s="169"/>
      <c r="E146" s="170"/>
      <c r="F146" s="114"/>
      <c r="G146" s="115">
        <f t="shared" si="41"/>
        <v>0</v>
      </c>
      <c r="H146" s="114"/>
      <c r="I146" s="115"/>
      <c r="J146" s="116">
        <f>12.64+100</f>
        <v>112.64</v>
      </c>
      <c r="K146" s="179"/>
      <c r="L146" s="56" t="s">
        <v>99</v>
      </c>
      <c r="M146" s="112"/>
      <c r="N146" s="113"/>
    </row>
    <row r="147" spans="1:14" ht="21.75" customHeight="1">
      <c r="A147" s="153"/>
      <c r="B147" s="154"/>
      <c r="C147" s="154"/>
      <c r="D147" s="169"/>
      <c r="E147" s="170"/>
      <c r="F147" s="114"/>
      <c r="G147" s="115">
        <f t="shared" si="41"/>
        <v>0</v>
      </c>
      <c r="H147" s="114"/>
      <c r="I147" s="115"/>
      <c r="J147" s="116">
        <v>0</v>
      </c>
      <c r="K147" s="179"/>
      <c r="L147" s="56" t="s">
        <v>103</v>
      </c>
      <c r="M147" s="112"/>
      <c r="N147" s="113"/>
    </row>
    <row r="148" spans="1:14" ht="21" customHeight="1">
      <c r="A148" s="153"/>
      <c r="B148" s="154"/>
      <c r="C148" s="154"/>
      <c r="D148" s="169"/>
      <c r="E148" s="170"/>
      <c r="F148" s="114"/>
      <c r="G148" s="115">
        <f t="shared" si="41"/>
        <v>0</v>
      </c>
      <c r="H148" s="114"/>
      <c r="I148" s="115"/>
      <c r="J148" s="116">
        <f>30.36+100</f>
        <v>130.36</v>
      </c>
      <c r="K148" s="179"/>
      <c r="L148" s="56" t="s">
        <v>100</v>
      </c>
      <c r="M148" s="112"/>
      <c r="N148" s="113"/>
    </row>
    <row r="149" spans="1:14" ht="21" customHeight="1">
      <c r="A149" s="153"/>
      <c r="B149" s="154"/>
      <c r="C149" s="154"/>
      <c r="D149" s="169"/>
      <c r="E149" s="170"/>
      <c r="F149" s="180"/>
      <c r="G149" s="181">
        <f t="shared" si="41"/>
        <v>0</v>
      </c>
      <c r="H149" s="180"/>
      <c r="I149" s="181"/>
      <c r="J149" s="182">
        <f>15.18+16.731+100-12.511</f>
        <v>119.4</v>
      </c>
      <c r="K149" s="183"/>
      <c r="L149" s="168" t="s">
        <v>101</v>
      </c>
      <c r="M149" s="112"/>
      <c r="N149" s="113"/>
    </row>
    <row r="150" spans="1:14" ht="26.25" customHeight="1">
      <c r="A150" s="153"/>
      <c r="B150" s="154"/>
      <c r="C150" s="154"/>
      <c r="D150" s="169">
        <v>2020</v>
      </c>
      <c r="E150" s="170">
        <f>F150+G150+J150+K150</f>
        <v>153.72000000000003</v>
      </c>
      <c r="F150" s="171">
        <f>SUM(F152:F157)</f>
        <v>0</v>
      </c>
      <c r="G150" s="172">
        <f>SUM(G152:G157)</f>
        <v>0</v>
      </c>
      <c r="H150" s="172">
        <f>SUM(H152:H157)</f>
        <v>0</v>
      </c>
      <c r="I150" s="172">
        <f>SUM(I152:I157)</f>
        <v>0</v>
      </c>
      <c r="J150" s="173">
        <f>SUM(J152:J157)</f>
        <v>153.72000000000003</v>
      </c>
      <c r="K150" s="184">
        <f>SUM(K152:K157)</f>
        <v>0</v>
      </c>
      <c r="L150" s="185"/>
      <c r="M150" s="112"/>
      <c r="N150" s="113"/>
    </row>
    <row r="151" spans="1:14" ht="48.75" customHeight="1">
      <c r="A151" s="153"/>
      <c r="B151" s="154"/>
      <c r="C151" s="154"/>
      <c r="D151" s="169"/>
      <c r="E151" s="170"/>
      <c r="F151" s="175"/>
      <c r="G151" s="176">
        <f aca="true" t="shared" si="42" ref="G151:G157">H151+I151</f>
        <v>0</v>
      </c>
      <c r="H151" s="175"/>
      <c r="I151" s="176"/>
      <c r="J151" s="177">
        <v>0</v>
      </c>
      <c r="K151" s="178"/>
      <c r="L151" s="134" t="s">
        <v>96</v>
      </c>
      <c r="M151" s="112"/>
      <c r="N151" s="113"/>
    </row>
    <row r="152" spans="1:14" ht="24.75" customHeight="1">
      <c r="A152" s="153"/>
      <c r="B152" s="154"/>
      <c r="C152" s="154"/>
      <c r="D152" s="169"/>
      <c r="E152" s="170"/>
      <c r="F152" s="114"/>
      <c r="G152" s="115">
        <f t="shared" si="42"/>
        <v>0</v>
      </c>
      <c r="H152" s="114"/>
      <c r="I152" s="115"/>
      <c r="J152" s="116">
        <v>29.64</v>
      </c>
      <c r="K152" s="179"/>
      <c r="L152" s="56" t="s">
        <v>97</v>
      </c>
      <c r="M152" s="112"/>
      <c r="N152" s="113"/>
    </row>
    <row r="153" spans="1:14" ht="24.75" customHeight="1">
      <c r="A153" s="153"/>
      <c r="B153" s="154"/>
      <c r="C153" s="154"/>
      <c r="D153" s="169"/>
      <c r="E153" s="170"/>
      <c r="F153" s="114"/>
      <c r="G153" s="115">
        <f t="shared" si="42"/>
        <v>0</v>
      </c>
      <c r="H153" s="114"/>
      <c r="I153" s="115"/>
      <c r="J153" s="116">
        <v>29.64</v>
      </c>
      <c r="K153" s="179"/>
      <c r="L153" s="56" t="s">
        <v>98</v>
      </c>
      <c r="M153" s="112"/>
      <c r="N153" s="113"/>
    </row>
    <row r="154" spans="1:14" ht="24.75" customHeight="1">
      <c r="A154" s="153"/>
      <c r="B154" s="154"/>
      <c r="C154" s="154"/>
      <c r="D154" s="169"/>
      <c r="E154" s="170"/>
      <c r="F154" s="114"/>
      <c r="G154" s="115">
        <f t="shared" si="42"/>
        <v>0</v>
      </c>
      <c r="H154" s="114"/>
      <c r="I154" s="115"/>
      <c r="J154" s="116">
        <v>29.64</v>
      </c>
      <c r="K154" s="179"/>
      <c r="L154" s="56" t="s">
        <v>99</v>
      </c>
      <c r="M154" s="112"/>
      <c r="N154" s="113"/>
    </row>
    <row r="155" spans="1:14" ht="24.75" customHeight="1">
      <c r="A155" s="153"/>
      <c r="B155" s="154"/>
      <c r="C155" s="154"/>
      <c r="D155" s="169"/>
      <c r="E155" s="170"/>
      <c r="F155" s="114"/>
      <c r="G155" s="115">
        <f t="shared" si="42"/>
        <v>0</v>
      </c>
      <c r="H155" s="114"/>
      <c r="I155" s="115"/>
      <c r="J155" s="116">
        <v>0</v>
      </c>
      <c r="K155" s="179"/>
      <c r="L155" s="168" t="s">
        <v>102</v>
      </c>
      <c r="M155" s="112"/>
      <c r="N155" s="113"/>
    </row>
    <row r="156" spans="1:14" ht="24.75" customHeight="1">
      <c r="A156" s="153"/>
      <c r="B156" s="154"/>
      <c r="C156" s="154"/>
      <c r="D156" s="169"/>
      <c r="E156" s="170"/>
      <c r="F156" s="114"/>
      <c r="G156" s="115">
        <f t="shared" si="42"/>
        <v>0</v>
      </c>
      <c r="H156" s="114"/>
      <c r="I156" s="115"/>
      <c r="J156" s="116">
        <f>33.6-1.2</f>
        <v>32.4</v>
      </c>
      <c r="K156" s="179"/>
      <c r="L156" s="56" t="s">
        <v>100</v>
      </c>
      <c r="M156" s="112"/>
      <c r="N156" s="113"/>
    </row>
    <row r="157" spans="1:14" ht="24.75" customHeight="1">
      <c r="A157" s="153"/>
      <c r="B157" s="154"/>
      <c r="C157" s="154"/>
      <c r="D157" s="169"/>
      <c r="E157" s="170"/>
      <c r="F157" s="180"/>
      <c r="G157" s="181">
        <f t="shared" si="42"/>
        <v>0</v>
      </c>
      <c r="H157" s="180"/>
      <c r="I157" s="181"/>
      <c r="J157" s="182">
        <f>32.6-0.2</f>
        <v>32.4</v>
      </c>
      <c r="K157" s="183"/>
      <c r="L157" s="168" t="s">
        <v>101</v>
      </c>
      <c r="M157" s="112"/>
      <c r="N157" s="113"/>
    </row>
    <row r="158" spans="1:14" ht="24.75" customHeight="1">
      <c r="A158" s="153"/>
      <c r="B158" s="154"/>
      <c r="C158" s="154"/>
      <c r="D158" s="169">
        <v>2021</v>
      </c>
      <c r="E158" s="170">
        <f>F158+G158+J158+K158</f>
        <v>695.46</v>
      </c>
      <c r="F158" s="172">
        <f>SUM(F159:F166)</f>
        <v>0</v>
      </c>
      <c r="G158" s="172">
        <f>SUM(G159:G166)</f>
        <v>0</v>
      </c>
      <c r="H158" s="172">
        <f>SUM(H159:H166)</f>
        <v>0</v>
      </c>
      <c r="I158" s="172">
        <f>SUM(I159:I166)</f>
        <v>0</v>
      </c>
      <c r="J158" s="173">
        <f>SUM(J159:J166)</f>
        <v>695.46</v>
      </c>
      <c r="K158" s="186"/>
      <c r="L158" s="187"/>
      <c r="M158" s="112"/>
      <c r="N158" s="113"/>
    </row>
    <row r="159" spans="1:14" ht="45.75" customHeight="1">
      <c r="A159" s="153"/>
      <c r="B159" s="154"/>
      <c r="C159" s="154"/>
      <c r="D159" s="169"/>
      <c r="E159" s="170"/>
      <c r="F159" s="175"/>
      <c r="G159" s="176"/>
      <c r="H159" s="175"/>
      <c r="I159" s="176"/>
      <c r="J159" s="177">
        <v>0</v>
      </c>
      <c r="K159" s="178"/>
      <c r="L159" s="134" t="s">
        <v>96</v>
      </c>
      <c r="M159" s="112"/>
      <c r="N159" s="113"/>
    </row>
    <row r="160" spans="1:14" ht="24.75" customHeight="1">
      <c r="A160" s="153"/>
      <c r="B160" s="154"/>
      <c r="C160" s="154"/>
      <c r="D160" s="169"/>
      <c r="E160" s="170"/>
      <c r="F160" s="114"/>
      <c r="G160" s="115"/>
      <c r="H160" s="114"/>
      <c r="I160" s="115"/>
      <c r="J160" s="116">
        <v>36.66339</v>
      </c>
      <c r="K160" s="179"/>
      <c r="L160" s="56" t="s">
        <v>97</v>
      </c>
      <c r="M160" s="112"/>
      <c r="N160" s="113"/>
    </row>
    <row r="161" spans="1:14" ht="24.75" customHeight="1">
      <c r="A161" s="153"/>
      <c r="B161" s="154"/>
      <c r="C161" s="154"/>
      <c r="D161" s="169"/>
      <c r="E161" s="170"/>
      <c r="F161" s="114"/>
      <c r="G161" s="115"/>
      <c r="H161" s="114"/>
      <c r="I161" s="115"/>
      <c r="J161" s="116">
        <v>68.07261</v>
      </c>
      <c r="K161" s="179"/>
      <c r="L161" s="56" t="s">
        <v>98</v>
      </c>
      <c r="M161" s="112"/>
      <c r="N161" s="113"/>
    </row>
    <row r="162" spans="1:14" ht="24.75" customHeight="1">
      <c r="A162" s="153"/>
      <c r="B162" s="154"/>
      <c r="C162" s="154"/>
      <c r="D162" s="169"/>
      <c r="E162" s="170"/>
      <c r="F162" s="114"/>
      <c r="G162" s="115"/>
      <c r="H162" s="114"/>
      <c r="I162" s="115"/>
      <c r="J162" s="116">
        <v>101.404</v>
      </c>
      <c r="K162" s="179"/>
      <c r="L162" s="56" t="s">
        <v>99</v>
      </c>
      <c r="M162" s="112"/>
      <c r="N162" s="113"/>
    </row>
    <row r="163" spans="1:14" ht="24.75" customHeight="1">
      <c r="A163" s="153"/>
      <c r="B163" s="154"/>
      <c r="C163" s="154"/>
      <c r="D163" s="169"/>
      <c r="E163" s="170"/>
      <c r="F163" s="115"/>
      <c r="G163" s="115"/>
      <c r="H163" s="114"/>
      <c r="I163" s="115"/>
      <c r="J163" s="116">
        <v>30.44</v>
      </c>
      <c r="K163" s="179"/>
      <c r="L163" s="168" t="s">
        <v>102</v>
      </c>
      <c r="M163" s="112"/>
      <c r="N163" s="113"/>
    </row>
    <row r="164" spans="1:14" ht="24.75" customHeight="1">
      <c r="A164" s="153"/>
      <c r="B164" s="154"/>
      <c r="C164" s="154"/>
      <c r="D164" s="169"/>
      <c r="E164" s="170"/>
      <c r="F164" s="114"/>
      <c r="G164" s="115"/>
      <c r="H164" s="114"/>
      <c r="I164" s="115"/>
      <c r="J164" s="116">
        <v>234.44</v>
      </c>
      <c r="K164" s="179"/>
      <c r="L164" s="56" t="s">
        <v>100</v>
      </c>
      <c r="M164" s="112"/>
      <c r="N164" s="113"/>
    </row>
    <row r="165" spans="1:14" ht="24.75" customHeight="1">
      <c r="A165" s="153"/>
      <c r="B165" s="154"/>
      <c r="C165" s="154"/>
      <c r="D165" s="169"/>
      <c r="E165" s="170"/>
      <c r="F165" s="188"/>
      <c r="G165" s="189"/>
      <c r="H165" s="188"/>
      <c r="I165" s="189"/>
      <c r="J165" s="190">
        <v>24.44</v>
      </c>
      <c r="K165" s="191"/>
      <c r="L165" s="56" t="s">
        <v>101</v>
      </c>
      <c r="M165" s="112"/>
      <c r="N165" s="113"/>
    </row>
    <row r="166" spans="1:14" ht="24.75" customHeight="1">
      <c r="A166" s="153"/>
      <c r="B166" s="154"/>
      <c r="C166" s="154"/>
      <c r="D166" s="169"/>
      <c r="E166" s="170"/>
      <c r="F166" s="180"/>
      <c r="G166" s="181"/>
      <c r="H166" s="180"/>
      <c r="I166" s="181"/>
      <c r="J166" s="182">
        <v>200</v>
      </c>
      <c r="K166" s="183"/>
      <c r="L166" s="161" t="s">
        <v>101</v>
      </c>
      <c r="M166" s="112"/>
      <c r="N166" s="113"/>
    </row>
    <row r="167" spans="1:14" ht="26.25" customHeight="1">
      <c r="A167" s="153"/>
      <c r="B167" s="154"/>
      <c r="C167" s="154"/>
      <c r="D167" s="192">
        <v>2022</v>
      </c>
      <c r="E167" s="193">
        <f>I167+J167</f>
        <v>659.025</v>
      </c>
      <c r="F167" s="194">
        <f>SUM(F168:F174)</f>
        <v>0</v>
      </c>
      <c r="G167" s="195">
        <f>SUM(G168:G174)</f>
        <v>0</v>
      </c>
      <c r="H167" s="195">
        <f>SUM(H168:H174)</f>
        <v>0</v>
      </c>
      <c r="I167" s="195">
        <f>SUM(I168:I174)</f>
        <v>0</v>
      </c>
      <c r="J167" s="196">
        <f>SUM(J168:J174)</f>
        <v>659.025</v>
      </c>
      <c r="K167" s="197"/>
      <c r="L167" s="198"/>
      <c r="M167" s="112"/>
      <c r="N167" s="113"/>
    </row>
    <row r="168" spans="1:14" ht="27" customHeight="1">
      <c r="A168" s="153"/>
      <c r="B168" s="154"/>
      <c r="C168" s="154"/>
      <c r="D168" s="192"/>
      <c r="E168" s="199"/>
      <c r="F168" s="175"/>
      <c r="G168" s="176"/>
      <c r="H168" s="175"/>
      <c r="I168" s="176"/>
      <c r="J168" s="177">
        <v>0</v>
      </c>
      <c r="K168" s="200"/>
      <c r="L168" s="201" t="s">
        <v>62</v>
      </c>
      <c r="M168" s="112"/>
      <c r="N168" s="113"/>
    </row>
    <row r="169" spans="1:14" ht="24.75" customHeight="1">
      <c r="A169" s="153"/>
      <c r="B169" s="154"/>
      <c r="C169" s="154"/>
      <c r="D169" s="192"/>
      <c r="E169" s="199"/>
      <c r="F169" s="114"/>
      <c r="G169" s="115"/>
      <c r="H169" s="114"/>
      <c r="I169" s="115"/>
      <c r="J169" s="116">
        <v>184.6</v>
      </c>
      <c r="K169" s="202"/>
      <c r="L169" s="56" t="s">
        <v>97</v>
      </c>
      <c r="M169" s="112"/>
      <c r="N169" s="113"/>
    </row>
    <row r="170" spans="1:14" ht="24.75" customHeight="1">
      <c r="A170" s="153"/>
      <c r="B170" s="154"/>
      <c r="C170" s="154"/>
      <c r="D170" s="192"/>
      <c r="E170" s="199"/>
      <c r="F170" s="114"/>
      <c r="G170" s="115"/>
      <c r="H170" s="114"/>
      <c r="I170" s="115"/>
      <c r="J170" s="116">
        <v>32.4</v>
      </c>
      <c r="K170" s="202"/>
      <c r="L170" s="56" t="s">
        <v>98</v>
      </c>
      <c r="M170" s="112"/>
      <c r="N170" s="113"/>
    </row>
    <row r="171" spans="1:14" ht="24.75" customHeight="1">
      <c r="A171" s="153"/>
      <c r="B171" s="154"/>
      <c r="C171" s="154"/>
      <c r="D171" s="192"/>
      <c r="E171" s="199"/>
      <c r="F171" s="114"/>
      <c r="G171" s="115"/>
      <c r="H171" s="114"/>
      <c r="I171" s="115"/>
      <c r="J171" s="116">
        <v>32.4</v>
      </c>
      <c r="K171" s="202"/>
      <c r="L171" s="56" t="s">
        <v>99</v>
      </c>
      <c r="M171" s="112"/>
      <c r="N171" s="113"/>
    </row>
    <row r="172" spans="1:14" ht="24.75" customHeight="1">
      <c r="A172" s="153"/>
      <c r="B172" s="154"/>
      <c r="C172" s="154"/>
      <c r="D172" s="192"/>
      <c r="E172" s="199"/>
      <c r="F172" s="114"/>
      <c r="G172" s="115"/>
      <c r="H172" s="114"/>
      <c r="I172" s="115"/>
      <c r="J172" s="116">
        <v>31.4</v>
      </c>
      <c r="K172" s="202"/>
      <c r="L172" s="168" t="s">
        <v>102</v>
      </c>
      <c r="M172" s="112"/>
      <c r="N172" s="113"/>
    </row>
    <row r="173" spans="1:14" ht="24.75" customHeight="1">
      <c r="A173" s="153"/>
      <c r="B173" s="154"/>
      <c r="C173" s="154"/>
      <c r="D173" s="192"/>
      <c r="E173" s="199"/>
      <c r="F173" s="114"/>
      <c r="G173" s="115"/>
      <c r="H173" s="114"/>
      <c r="I173" s="115"/>
      <c r="J173" s="116">
        <v>45.326</v>
      </c>
      <c r="K173" s="202"/>
      <c r="L173" s="56" t="s">
        <v>100</v>
      </c>
      <c r="M173" s="112"/>
      <c r="N173" s="113"/>
    </row>
    <row r="174" spans="1:14" ht="24.75" customHeight="1">
      <c r="A174" s="153"/>
      <c r="B174" s="154"/>
      <c r="C174" s="154"/>
      <c r="D174" s="192"/>
      <c r="E174" s="199"/>
      <c r="F174" s="188"/>
      <c r="G174" s="189"/>
      <c r="H174" s="188"/>
      <c r="I174" s="189"/>
      <c r="J174" s="190">
        <v>332.899</v>
      </c>
      <c r="K174" s="203"/>
      <c r="L174" s="168" t="s">
        <v>101</v>
      </c>
      <c r="M174" s="112"/>
      <c r="N174" s="113"/>
    </row>
    <row r="175" spans="1:14" ht="24.75" customHeight="1">
      <c r="A175" s="153"/>
      <c r="B175" s="154"/>
      <c r="C175" s="154"/>
      <c r="D175" s="204">
        <v>2023</v>
      </c>
      <c r="E175" s="171">
        <f>F175+G175+J175+K175</f>
        <v>231.47368</v>
      </c>
      <c r="F175" s="205">
        <f>SUM(F176:F181)</f>
        <v>0</v>
      </c>
      <c r="G175" s="205">
        <f>H175+I175</f>
        <v>0</v>
      </c>
      <c r="H175" s="205">
        <f>SUM(H176:H181)</f>
        <v>0</v>
      </c>
      <c r="I175" s="205">
        <f>SUM(I176:I181)</f>
        <v>0</v>
      </c>
      <c r="J175" s="173">
        <f>SUM(J176:J181)</f>
        <v>231.47368</v>
      </c>
      <c r="K175" s="206"/>
      <c r="L175" s="174"/>
      <c r="M175" s="112"/>
      <c r="N175" s="113"/>
    </row>
    <row r="176" spans="1:14" ht="24.75" customHeight="1">
      <c r="A176" s="153"/>
      <c r="B176" s="154"/>
      <c r="C176" s="154"/>
      <c r="D176" s="204"/>
      <c r="E176" s="207"/>
      <c r="F176" s="175"/>
      <c r="G176" s="176"/>
      <c r="H176" s="175"/>
      <c r="I176" s="176"/>
      <c r="J176" s="116">
        <v>32.4</v>
      </c>
      <c r="K176" s="200"/>
      <c r="L176" s="56" t="s">
        <v>97</v>
      </c>
      <c r="M176" s="112"/>
      <c r="N176" s="113"/>
    </row>
    <row r="177" spans="1:14" ht="24.75" customHeight="1">
      <c r="A177" s="153"/>
      <c r="B177" s="154"/>
      <c r="C177" s="154"/>
      <c r="D177" s="204"/>
      <c r="E177" s="207"/>
      <c r="F177" s="114"/>
      <c r="G177" s="115"/>
      <c r="H177" s="114"/>
      <c r="I177" s="115"/>
      <c r="J177" s="116">
        <v>32.4</v>
      </c>
      <c r="K177" s="202"/>
      <c r="L177" s="56" t="s">
        <v>98</v>
      </c>
      <c r="M177" s="112"/>
      <c r="N177" s="113"/>
    </row>
    <row r="178" spans="1:14" ht="24.75" customHeight="1">
      <c r="A178" s="153"/>
      <c r="B178" s="154"/>
      <c r="C178" s="154"/>
      <c r="D178" s="204"/>
      <c r="E178" s="207"/>
      <c r="F178" s="114"/>
      <c r="G178" s="115"/>
      <c r="H178" s="114"/>
      <c r="I178" s="115"/>
      <c r="J178" s="116">
        <v>32.4</v>
      </c>
      <c r="K178" s="202"/>
      <c r="L178" s="56" t="s">
        <v>99</v>
      </c>
      <c r="M178" s="112"/>
      <c r="N178" s="113"/>
    </row>
    <row r="179" spans="1:14" ht="24.75" customHeight="1">
      <c r="A179" s="153"/>
      <c r="B179" s="154"/>
      <c r="C179" s="154"/>
      <c r="D179" s="204"/>
      <c r="E179" s="207"/>
      <c r="F179" s="114"/>
      <c r="G179" s="115"/>
      <c r="H179" s="114"/>
      <c r="I179" s="115"/>
      <c r="J179" s="116">
        <v>31.4</v>
      </c>
      <c r="K179" s="202"/>
      <c r="L179" s="168" t="s">
        <v>102</v>
      </c>
      <c r="M179" s="112"/>
      <c r="N179" s="113"/>
    </row>
    <row r="180" spans="1:14" ht="24.75" customHeight="1">
      <c r="A180" s="153"/>
      <c r="B180" s="154"/>
      <c r="C180" s="154"/>
      <c r="D180" s="204"/>
      <c r="E180" s="207"/>
      <c r="F180" s="114"/>
      <c r="G180" s="115"/>
      <c r="H180" s="114"/>
      <c r="I180" s="115"/>
      <c r="J180" s="116">
        <v>35.56</v>
      </c>
      <c r="K180" s="202"/>
      <c r="L180" s="56" t="s">
        <v>100</v>
      </c>
      <c r="M180" s="112"/>
      <c r="N180" s="113"/>
    </row>
    <row r="181" spans="1:14" ht="24.75" customHeight="1">
      <c r="A181" s="153"/>
      <c r="B181" s="154"/>
      <c r="C181" s="154"/>
      <c r="D181" s="204"/>
      <c r="E181" s="207"/>
      <c r="F181" s="188"/>
      <c r="G181" s="189"/>
      <c r="H181" s="188"/>
      <c r="I181" s="189"/>
      <c r="J181" s="190">
        <v>67.31368</v>
      </c>
      <c r="K181" s="191"/>
      <c r="L181" s="208" t="s">
        <v>101</v>
      </c>
      <c r="M181" s="112"/>
      <c r="N181" s="113"/>
    </row>
    <row r="182" spans="1:14" ht="24.75" customHeight="1">
      <c r="A182" s="153"/>
      <c r="B182" s="154"/>
      <c r="C182" s="154"/>
      <c r="D182" s="23">
        <v>2024</v>
      </c>
      <c r="E182" s="171">
        <f>F182+G182+J182+K182</f>
        <v>207.84</v>
      </c>
      <c r="F182" s="205">
        <f>SUM(F183:F188)</f>
        <v>0</v>
      </c>
      <c r="G182" s="205">
        <f>H182+I182</f>
        <v>0</v>
      </c>
      <c r="H182" s="205">
        <f>SUM(H183:H188)</f>
        <v>0</v>
      </c>
      <c r="I182" s="205">
        <f>SUM(I183:I188)</f>
        <v>0</v>
      </c>
      <c r="J182" s="173">
        <f>SUM(J183:J188)</f>
        <v>207.84</v>
      </c>
      <c r="K182" s="206"/>
      <c r="L182" s="174"/>
      <c r="M182" s="112"/>
      <c r="N182" s="113"/>
    </row>
    <row r="183" spans="1:14" ht="24.75" customHeight="1">
      <c r="A183" s="153"/>
      <c r="B183" s="154"/>
      <c r="C183" s="154"/>
      <c r="D183" s="23"/>
      <c r="E183" s="114"/>
      <c r="F183" s="114"/>
      <c r="G183" s="115"/>
      <c r="H183" s="114"/>
      <c r="I183" s="115"/>
      <c r="J183" s="116">
        <v>34.6</v>
      </c>
      <c r="K183" s="179"/>
      <c r="L183" s="56" t="s">
        <v>97</v>
      </c>
      <c r="M183" s="112"/>
      <c r="N183" s="113"/>
    </row>
    <row r="184" spans="1:14" ht="24.75" customHeight="1">
      <c r="A184" s="153"/>
      <c r="B184" s="154"/>
      <c r="C184" s="154"/>
      <c r="D184" s="23"/>
      <c r="E184" s="114"/>
      <c r="F184" s="114"/>
      <c r="G184" s="115"/>
      <c r="H184" s="114"/>
      <c r="I184" s="115"/>
      <c r="J184" s="116">
        <v>34.6</v>
      </c>
      <c r="K184" s="179"/>
      <c r="L184" s="56" t="s">
        <v>98</v>
      </c>
      <c r="M184" s="112"/>
      <c r="N184" s="113"/>
    </row>
    <row r="185" spans="1:14" ht="24.75" customHeight="1">
      <c r="A185" s="153"/>
      <c r="B185" s="154"/>
      <c r="C185" s="154"/>
      <c r="D185" s="23"/>
      <c r="E185" s="114"/>
      <c r="F185" s="114"/>
      <c r="G185" s="115"/>
      <c r="H185" s="114"/>
      <c r="I185" s="115"/>
      <c r="J185" s="116">
        <v>33.4</v>
      </c>
      <c r="K185" s="179"/>
      <c r="L185" s="56" t="s">
        <v>99</v>
      </c>
      <c r="M185" s="112"/>
      <c r="N185" s="113"/>
    </row>
    <row r="186" spans="1:14" ht="24.75" customHeight="1">
      <c r="A186" s="153"/>
      <c r="B186" s="154"/>
      <c r="C186" s="154"/>
      <c r="D186" s="23"/>
      <c r="E186" s="114"/>
      <c r="F186" s="114"/>
      <c r="G186" s="115"/>
      <c r="H186" s="114"/>
      <c r="I186" s="115"/>
      <c r="J186" s="116">
        <v>34.12</v>
      </c>
      <c r="K186" s="179"/>
      <c r="L186" s="168" t="s">
        <v>102</v>
      </c>
      <c r="M186" s="112"/>
      <c r="N186" s="113"/>
    </row>
    <row r="187" spans="1:14" ht="24.75" customHeight="1">
      <c r="A187" s="153"/>
      <c r="B187" s="154"/>
      <c r="C187" s="154"/>
      <c r="D187" s="23"/>
      <c r="E187" s="114"/>
      <c r="F187" s="114"/>
      <c r="G187" s="115"/>
      <c r="H187" s="114"/>
      <c r="I187" s="115"/>
      <c r="J187" s="116">
        <v>35.56</v>
      </c>
      <c r="K187" s="179"/>
      <c r="L187" s="56" t="s">
        <v>100</v>
      </c>
      <c r="M187" s="112"/>
      <c r="N187" s="113"/>
    </row>
    <row r="188" spans="1:14" ht="24.75" customHeight="1">
      <c r="A188" s="153"/>
      <c r="B188" s="154"/>
      <c r="C188" s="154"/>
      <c r="D188" s="23"/>
      <c r="E188" s="114"/>
      <c r="F188" s="114"/>
      <c r="G188" s="115"/>
      <c r="H188" s="114"/>
      <c r="I188" s="115"/>
      <c r="J188" s="116">
        <v>35.56</v>
      </c>
      <c r="K188" s="179"/>
      <c r="L188" s="208" t="s">
        <v>101</v>
      </c>
      <c r="M188" s="112"/>
      <c r="N188" s="113"/>
    </row>
    <row r="189" spans="1:14" ht="24.75" customHeight="1">
      <c r="A189" s="153"/>
      <c r="B189" s="154"/>
      <c r="C189" s="154"/>
      <c r="D189" s="23">
        <v>2025</v>
      </c>
      <c r="E189" s="171">
        <f>F189+G189+J189+K189</f>
        <v>207.84</v>
      </c>
      <c r="F189" s="205">
        <f>SUM(F190:F195)</f>
        <v>0</v>
      </c>
      <c r="G189" s="205">
        <f>H189+I189</f>
        <v>0</v>
      </c>
      <c r="H189" s="205">
        <f>SUM(H190:H195)</f>
        <v>0</v>
      </c>
      <c r="I189" s="205">
        <f>SUM(I190:I195)</f>
        <v>0</v>
      </c>
      <c r="J189" s="173">
        <f>SUM(J190:J195)</f>
        <v>207.84</v>
      </c>
      <c r="K189" s="206"/>
      <c r="L189" s="174"/>
      <c r="M189" s="112"/>
      <c r="N189" s="113"/>
    </row>
    <row r="190" spans="1:14" ht="24.75" customHeight="1">
      <c r="A190" s="153"/>
      <c r="B190" s="154"/>
      <c r="C190" s="154"/>
      <c r="D190" s="23"/>
      <c r="E190" s="114"/>
      <c r="F190" s="114"/>
      <c r="G190" s="115"/>
      <c r="H190" s="114"/>
      <c r="I190" s="115"/>
      <c r="J190" s="116">
        <v>34.6</v>
      </c>
      <c r="K190" s="179"/>
      <c r="L190" s="56" t="s">
        <v>97</v>
      </c>
      <c r="M190" s="112"/>
      <c r="N190" s="113"/>
    </row>
    <row r="191" spans="1:14" ht="24.75" customHeight="1">
      <c r="A191" s="153"/>
      <c r="B191" s="154"/>
      <c r="C191" s="154"/>
      <c r="D191" s="23"/>
      <c r="E191" s="114"/>
      <c r="F191" s="114"/>
      <c r="G191" s="115"/>
      <c r="H191" s="114"/>
      <c r="I191" s="115"/>
      <c r="J191" s="116">
        <v>34.6</v>
      </c>
      <c r="K191" s="179"/>
      <c r="L191" s="56" t="s">
        <v>98</v>
      </c>
      <c r="M191" s="112"/>
      <c r="N191" s="113"/>
    </row>
    <row r="192" spans="1:14" ht="24.75" customHeight="1">
      <c r="A192" s="153"/>
      <c r="B192" s="154"/>
      <c r="C192" s="154"/>
      <c r="D192" s="23"/>
      <c r="E192" s="114"/>
      <c r="F192" s="114"/>
      <c r="G192" s="115"/>
      <c r="H192" s="114"/>
      <c r="I192" s="115"/>
      <c r="J192" s="116">
        <v>33.4</v>
      </c>
      <c r="K192" s="179"/>
      <c r="L192" s="56" t="s">
        <v>99</v>
      </c>
      <c r="M192" s="112"/>
      <c r="N192" s="113"/>
    </row>
    <row r="193" spans="1:14" ht="24.75" customHeight="1">
      <c r="A193" s="153"/>
      <c r="B193" s="154"/>
      <c r="C193" s="154"/>
      <c r="D193" s="23"/>
      <c r="E193" s="114"/>
      <c r="F193" s="114"/>
      <c r="G193" s="115"/>
      <c r="H193" s="114"/>
      <c r="I193" s="115"/>
      <c r="J193" s="116">
        <v>34.12</v>
      </c>
      <c r="K193" s="179"/>
      <c r="L193" s="168" t="s">
        <v>102</v>
      </c>
      <c r="M193" s="112"/>
      <c r="N193" s="113"/>
    </row>
    <row r="194" spans="1:14" ht="24.75" customHeight="1">
      <c r="A194" s="153"/>
      <c r="B194" s="154"/>
      <c r="C194" s="154"/>
      <c r="D194" s="23"/>
      <c r="E194" s="114"/>
      <c r="F194" s="114"/>
      <c r="G194" s="115"/>
      <c r="H194" s="114"/>
      <c r="I194" s="115"/>
      <c r="J194" s="116">
        <v>35.56</v>
      </c>
      <c r="K194" s="179"/>
      <c r="L194" s="56" t="s">
        <v>100</v>
      </c>
      <c r="M194" s="112"/>
      <c r="N194" s="113"/>
    </row>
    <row r="195" spans="1:14" ht="24.75" customHeight="1">
      <c r="A195" s="153"/>
      <c r="B195" s="154"/>
      <c r="C195" s="154"/>
      <c r="D195" s="23"/>
      <c r="E195" s="114"/>
      <c r="F195" s="114"/>
      <c r="G195" s="115"/>
      <c r="H195" s="114"/>
      <c r="I195" s="115"/>
      <c r="J195" s="116">
        <v>35.56</v>
      </c>
      <c r="K195" s="179"/>
      <c r="L195" s="208" t="s">
        <v>101</v>
      </c>
      <c r="M195" s="112"/>
      <c r="N195" s="113"/>
    </row>
    <row r="196" spans="1:14" ht="24.75" customHeight="1">
      <c r="A196" s="153"/>
      <c r="B196" s="154"/>
      <c r="C196" s="154"/>
      <c r="D196" s="23"/>
      <c r="E196" s="114"/>
      <c r="F196" s="114"/>
      <c r="G196" s="115"/>
      <c r="H196" s="114"/>
      <c r="I196" s="115"/>
      <c r="J196" s="116"/>
      <c r="K196" s="179"/>
      <c r="L196" s="78"/>
      <c r="M196" s="112"/>
      <c r="N196" s="113"/>
    </row>
    <row r="197" spans="1:14" ht="27.75" customHeight="1">
      <c r="A197" s="209" t="s">
        <v>104</v>
      </c>
      <c r="B197" s="210" t="s">
        <v>105</v>
      </c>
      <c r="C197" s="210"/>
      <c r="D197" s="155">
        <v>2019</v>
      </c>
      <c r="E197" s="211">
        <f>F197+G197+J197+K197</f>
        <v>47.04</v>
      </c>
      <c r="F197" s="194">
        <f>SUM(F198:F203)</f>
        <v>0</v>
      </c>
      <c r="G197" s="212">
        <f aca="true" t="shared" si="43" ref="G197:G219">H197+I197</f>
        <v>0</v>
      </c>
      <c r="H197" s="195">
        <f>SUM(H198:H203)</f>
        <v>0</v>
      </c>
      <c r="I197" s="195">
        <f>SUM(I198:I203)</f>
        <v>0</v>
      </c>
      <c r="J197" s="196">
        <f>SUM(J198:J203)</f>
        <v>47.04</v>
      </c>
      <c r="K197" s="197"/>
      <c r="L197" s="213"/>
      <c r="M197" s="112"/>
      <c r="N197" s="113"/>
    </row>
    <row r="198" spans="1:14" ht="24.75" customHeight="1">
      <c r="A198" s="209"/>
      <c r="B198" s="210"/>
      <c r="C198" s="210"/>
      <c r="D198" s="155"/>
      <c r="E198" s="211"/>
      <c r="F198" s="214"/>
      <c r="G198" s="176">
        <f t="shared" si="43"/>
        <v>0</v>
      </c>
      <c r="H198" s="175"/>
      <c r="I198" s="176"/>
      <c r="J198" s="177">
        <v>4.5</v>
      </c>
      <c r="K198" s="178"/>
      <c r="L198" s="56" t="s">
        <v>97</v>
      </c>
      <c r="M198" s="112"/>
      <c r="N198" s="113"/>
    </row>
    <row r="199" spans="1:14" ht="24.75" customHeight="1">
      <c r="A199" s="209"/>
      <c r="B199" s="210"/>
      <c r="C199" s="210"/>
      <c r="D199" s="155"/>
      <c r="E199" s="211"/>
      <c r="F199" s="215"/>
      <c r="G199" s="115">
        <f t="shared" si="43"/>
        <v>0</v>
      </c>
      <c r="H199" s="114"/>
      <c r="I199" s="115"/>
      <c r="J199" s="116">
        <v>6</v>
      </c>
      <c r="K199" s="179"/>
      <c r="L199" s="56" t="s">
        <v>98</v>
      </c>
      <c r="M199" s="112"/>
      <c r="N199" s="113"/>
    </row>
    <row r="200" spans="1:14" ht="24.75" customHeight="1">
      <c r="A200" s="209"/>
      <c r="B200" s="210"/>
      <c r="C200" s="210"/>
      <c r="D200" s="155"/>
      <c r="E200" s="211"/>
      <c r="F200" s="215"/>
      <c r="G200" s="115">
        <f t="shared" si="43"/>
        <v>0</v>
      </c>
      <c r="H200" s="114"/>
      <c r="I200" s="115"/>
      <c r="J200" s="116">
        <v>4.5</v>
      </c>
      <c r="K200" s="179"/>
      <c r="L200" s="56" t="s">
        <v>99</v>
      </c>
      <c r="M200" s="112"/>
      <c r="N200" s="113"/>
    </row>
    <row r="201" spans="1:14" ht="24.75" customHeight="1">
      <c r="A201" s="209"/>
      <c r="B201" s="210"/>
      <c r="C201" s="210"/>
      <c r="D201" s="155"/>
      <c r="E201" s="211"/>
      <c r="F201" s="215"/>
      <c r="G201" s="115">
        <f t="shared" si="43"/>
        <v>0</v>
      </c>
      <c r="H201" s="114"/>
      <c r="I201" s="115"/>
      <c r="J201" s="116">
        <v>20.04</v>
      </c>
      <c r="K201" s="179"/>
      <c r="L201" s="168" t="s">
        <v>102</v>
      </c>
      <c r="M201" s="112"/>
      <c r="N201" s="113"/>
    </row>
    <row r="202" spans="1:14" ht="24.75" customHeight="1">
      <c r="A202" s="209"/>
      <c r="B202" s="210"/>
      <c r="C202" s="210"/>
      <c r="D202" s="155"/>
      <c r="E202" s="211"/>
      <c r="F202" s="215"/>
      <c r="G202" s="115">
        <f t="shared" si="43"/>
        <v>0</v>
      </c>
      <c r="H202" s="114"/>
      <c r="I202" s="115"/>
      <c r="J202" s="116">
        <v>12</v>
      </c>
      <c r="K202" s="179"/>
      <c r="L202" s="201" t="s">
        <v>62</v>
      </c>
      <c r="M202" s="112"/>
      <c r="N202" s="113"/>
    </row>
    <row r="203" spans="1:14" ht="24.75" customHeight="1">
      <c r="A203" s="209"/>
      <c r="B203" s="210"/>
      <c r="C203" s="210"/>
      <c r="D203" s="155"/>
      <c r="E203" s="211"/>
      <c r="F203" s="216"/>
      <c r="G203" s="181">
        <f t="shared" si="43"/>
        <v>0</v>
      </c>
      <c r="H203" s="180"/>
      <c r="I203" s="181"/>
      <c r="J203" s="182">
        <v>0</v>
      </c>
      <c r="K203" s="183"/>
      <c r="L203" s="168"/>
      <c r="M203" s="112"/>
      <c r="N203" s="113"/>
    </row>
    <row r="204" spans="1:14" ht="24.75" customHeight="1">
      <c r="A204" s="209"/>
      <c r="B204" s="210"/>
      <c r="C204" s="210"/>
      <c r="D204" s="169">
        <v>2020</v>
      </c>
      <c r="E204" s="170">
        <f>F204+G204+J204+K204</f>
        <v>39.64</v>
      </c>
      <c r="F204" s="217"/>
      <c r="G204" s="218">
        <f t="shared" si="43"/>
        <v>0</v>
      </c>
      <c r="H204" s="218">
        <f>H205+H206+H207+H208+H210+H211</f>
        <v>0</v>
      </c>
      <c r="I204" s="218">
        <f>I205+I206+I207+I208+I210+I211</f>
        <v>0</v>
      </c>
      <c r="J204" s="219">
        <f>SUM(J205:J211)</f>
        <v>39.64</v>
      </c>
      <c r="K204" s="220">
        <f>K205+K206+K207+K208+K210+K211</f>
        <v>0</v>
      </c>
      <c r="L204" s="198"/>
      <c r="M204" s="112"/>
      <c r="N204" s="113"/>
    </row>
    <row r="205" spans="1:14" ht="25.5" customHeight="1">
      <c r="A205" s="209"/>
      <c r="B205" s="210"/>
      <c r="C205" s="210"/>
      <c r="D205" s="169"/>
      <c r="E205" s="170"/>
      <c r="F205" s="61"/>
      <c r="G205" s="61">
        <f t="shared" si="43"/>
        <v>0</v>
      </c>
      <c r="H205" s="61"/>
      <c r="I205" s="162"/>
      <c r="J205" s="62">
        <f>12-7.4</f>
        <v>4.6</v>
      </c>
      <c r="K205" s="61"/>
      <c r="L205" s="201" t="s">
        <v>62</v>
      </c>
      <c r="M205" s="112"/>
      <c r="N205" s="113"/>
    </row>
    <row r="206" spans="1:14" ht="24.75" customHeight="1">
      <c r="A206" s="209"/>
      <c r="B206" s="210"/>
      <c r="C206" s="210"/>
      <c r="D206" s="169"/>
      <c r="E206" s="170"/>
      <c r="F206" s="52"/>
      <c r="G206" s="52">
        <f t="shared" si="43"/>
        <v>0</v>
      </c>
      <c r="H206" s="52"/>
      <c r="I206" s="53"/>
      <c r="J206" s="21">
        <v>4.5</v>
      </c>
      <c r="K206" s="52"/>
      <c r="L206" s="56" t="s">
        <v>97</v>
      </c>
      <c r="M206" s="112"/>
      <c r="N206" s="113"/>
    </row>
    <row r="207" spans="1:14" ht="24.75" customHeight="1">
      <c r="A207" s="209"/>
      <c r="B207" s="210"/>
      <c r="C207" s="210"/>
      <c r="D207" s="169"/>
      <c r="E207" s="170"/>
      <c r="F207" s="52"/>
      <c r="G207" s="52">
        <f t="shared" si="43"/>
        <v>0</v>
      </c>
      <c r="H207" s="52"/>
      <c r="I207" s="53"/>
      <c r="J207" s="21">
        <v>6</v>
      </c>
      <c r="K207" s="52"/>
      <c r="L207" s="56" t="s">
        <v>98</v>
      </c>
      <c r="M207" s="112"/>
      <c r="N207" s="113"/>
    </row>
    <row r="208" spans="1:14" ht="24.75" customHeight="1">
      <c r="A208" s="209"/>
      <c r="B208" s="210"/>
      <c r="C208" s="210"/>
      <c r="D208" s="169"/>
      <c r="E208" s="170"/>
      <c r="F208" s="52"/>
      <c r="G208" s="52">
        <f t="shared" si="43"/>
        <v>0</v>
      </c>
      <c r="H208" s="52"/>
      <c r="I208" s="53"/>
      <c r="J208" s="21">
        <v>4.5</v>
      </c>
      <c r="K208" s="52"/>
      <c r="L208" s="56" t="s">
        <v>99</v>
      </c>
      <c r="M208" s="112"/>
      <c r="N208" s="113"/>
    </row>
    <row r="209" spans="1:14" ht="24.75" customHeight="1">
      <c r="A209" s="209"/>
      <c r="B209" s="210"/>
      <c r="C209" s="210"/>
      <c r="D209" s="169"/>
      <c r="E209" s="170"/>
      <c r="F209" s="52"/>
      <c r="G209" s="52">
        <f t="shared" si="43"/>
        <v>0</v>
      </c>
      <c r="H209" s="52"/>
      <c r="I209" s="53"/>
      <c r="J209" s="116">
        <v>20.04</v>
      </c>
      <c r="K209" s="179"/>
      <c r="L209" s="168" t="s">
        <v>102</v>
      </c>
      <c r="M209" s="112"/>
      <c r="N209" s="113"/>
    </row>
    <row r="210" spans="1:14" ht="24.75" customHeight="1">
      <c r="A210" s="209"/>
      <c r="B210" s="210"/>
      <c r="C210" s="210"/>
      <c r="D210" s="169"/>
      <c r="E210" s="170"/>
      <c r="F210" s="52"/>
      <c r="G210" s="52">
        <f t="shared" si="43"/>
        <v>0</v>
      </c>
      <c r="H210" s="52"/>
      <c r="I210" s="53"/>
      <c r="J210" s="21">
        <v>0</v>
      </c>
      <c r="K210" s="52"/>
      <c r="L210" s="56" t="s">
        <v>100</v>
      </c>
      <c r="M210" s="112"/>
      <c r="N210" s="113"/>
    </row>
    <row r="211" spans="1:14" ht="24.75" customHeight="1">
      <c r="A211" s="209"/>
      <c r="B211" s="210"/>
      <c r="C211" s="210"/>
      <c r="D211" s="169"/>
      <c r="E211" s="170"/>
      <c r="F211" s="164"/>
      <c r="G211" s="164">
        <f t="shared" si="43"/>
        <v>0</v>
      </c>
      <c r="H211" s="164"/>
      <c r="I211" s="166"/>
      <c r="J211" s="167">
        <v>0</v>
      </c>
      <c r="K211" s="164"/>
      <c r="L211" s="168" t="s">
        <v>101</v>
      </c>
      <c r="M211" s="112"/>
      <c r="N211" s="113"/>
    </row>
    <row r="212" spans="1:14" ht="24.75" customHeight="1">
      <c r="A212" s="209"/>
      <c r="B212" s="210"/>
      <c r="C212" s="210"/>
      <c r="D212" s="169">
        <v>2021</v>
      </c>
      <c r="E212" s="170">
        <f>F212+G212+J212+K212</f>
        <v>0</v>
      </c>
      <c r="F212" s="217"/>
      <c r="G212" s="218">
        <f t="shared" si="43"/>
        <v>0</v>
      </c>
      <c r="H212" s="218">
        <f>H213+H214+H215+H216+H218+H219</f>
        <v>0</v>
      </c>
      <c r="I212" s="218">
        <f>I213+I214+I215+I216+I218+I219</f>
        <v>0</v>
      </c>
      <c r="J212" s="219">
        <f>SUM(J213:J219)</f>
        <v>0</v>
      </c>
      <c r="K212" s="218">
        <f>K213+K214+K215+K216+K218+K219</f>
        <v>0</v>
      </c>
      <c r="L212" s="174"/>
      <c r="M212" s="112"/>
      <c r="N212" s="113"/>
    </row>
    <row r="213" spans="1:14" ht="19.5" customHeight="1">
      <c r="A213" s="209"/>
      <c r="B213" s="210"/>
      <c r="C213" s="210"/>
      <c r="D213" s="169"/>
      <c r="E213" s="170"/>
      <c r="F213" s="61"/>
      <c r="G213" s="61">
        <f t="shared" si="43"/>
        <v>0</v>
      </c>
      <c r="H213" s="61"/>
      <c r="I213" s="162"/>
      <c r="J213" s="21">
        <v>0</v>
      </c>
      <c r="K213" s="61"/>
      <c r="L213" s="201" t="s">
        <v>62</v>
      </c>
      <c r="M213" s="112"/>
      <c r="N213" s="113"/>
    </row>
    <row r="214" spans="1:14" ht="20.25" customHeight="1">
      <c r="A214" s="209"/>
      <c r="B214" s="210"/>
      <c r="C214" s="210"/>
      <c r="D214" s="169"/>
      <c r="E214" s="170"/>
      <c r="F214" s="52"/>
      <c r="G214" s="52">
        <f t="shared" si="43"/>
        <v>0</v>
      </c>
      <c r="H214" s="52"/>
      <c r="I214" s="53"/>
      <c r="J214" s="21">
        <v>0</v>
      </c>
      <c r="K214" s="52"/>
      <c r="L214" s="56" t="s">
        <v>97</v>
      </c>
      <c r="M214" s="112"/>
      <c r="N214" s="113"/>
    </row>
    <row r="215" spans="1:14" ht="21" customHeight="1">
      <c r="A215" s="209"/>
      <c r="B215" s="210"/>
      <c r="C215" s="210"/>
      <c r="D215" s="169"/>
      <c r="E215" s="170"/>
      <c r="F215" s="52"/>
      <c r="G215" s="52">
        <f t="shared" si="43"/>
        <v>0</v>
      </c>
      <c r="H215" s="52"/>
      <c r="I215" s="53"/>
      <c r="J215" s="21">
        <v>0</v>
      </c>
      <c r="K215" s="52"/>
      <c r="L215" s="56" t="s">
        <v>98</v>
      </c>
      <c r="M215" s="112"/>
      <c r="N215" s="113"/>
    </row>
    <row r="216" spans="1:14" ht="20.25" customHeight="1">
      <c r="A216" s="209"/>
      <c r="B216" s="210"/>
      <c r="C216" s="210"/>
      <c r="D216" s="169"/>
      <c r="E216" s="170"/>
      <c r="F216" s="52"/>
      <c r="G216" s="52">
        <f t="shared" si="43"/>
        <v>0</v>
      </c>
      <c r="H216" s="52"/>
      <c r="I216" s="53"/>
      <c r="J216" s="21">
        <v>0</v>
      </c>
      <c r="K216" s="52"/>
      <c r="L216" s="56" t="s">
        <v>99</v>
      </c>
      <c r="M216" s="112"/>
      <c r="N216" s="113"/>
    </row>
    <row r="217" spans="1:14" ht="21" customHeight="1">
      <c r="A217" s="209"/>
      <c r="B217" s="210"/>
      <c r="C217" s="210"/>
      <c r="D217" s="169"/>
      <c r="E217" s="170"/>
      <c r="F217" s="52"/>
      <c r="G217" s="52">
        <f t="shared" si="43"/>
        <v>0</v>
      </c>
      <c r="H217" s="52"/>
      <c r="I217" s="53"/>
      <c r="J217" s="21">
        <v>0</v>
      </c>
      <c r="K217" s="52"/>
      <c r="L217" s="168" t="s">
        <v>102</v>
      </c>
      <c r="M217" s="112"/>
      <c r="N217" s="113"/>
    </row>
    <row r="218" spans="1:14" ht="18.75" customHeight="1">
      <c r="A218" s="209"/>
      <c r="B218" s="210"/>
      <c r="C218" s="210"/>
      <c r="D218" s="169"/>
      <c r="E218" s="170"/>
      <c r="F218" s="52"/>
      <c r="G218" s="52">
        <f t="shared" si="43"/>
        <v>0</v>
      </c>
      <c r="H218" s="52"/>
      <c r="I218" s="53"/>
      <c r="J218" s="21">
        <v>0</v>
      </c>
      <c r="K218" s="52"/>
      <c r="L218" s="56" t="s">
        <v>100</v>
      </c>
      <c r="M218" s="112"/>
      <c r="N218" s="113"/>
    </row>
    <row r="219" spans="1:14" ht="17.25" customHeight="1">
      <c r="A219" s="209"/>
      <c r="B219" s="210"/>
      <c r="C219" s="210"/>
      <c r="D219" s="169"/>
      <c r="E219" s="170"/>
      <c r="F219" s="164"/>
      <c r="G219" s="164">
        <f t="shared" si="43"/>
        <v>0</v>
      </c>
      <c r="H219" s="164"/>
      <c r="I219" s="166"/>
      <c r="J219" s="167">
        <v>0</v>
      </c>
      <c r="K219" s="164"/>
      <c r="L219" s="168" t="s">
        <v>101</v>
      </c>
      <c r="M219" s="112"/>
      <c r="N219" s="113"/>
    </row>
    <row r="220" spans="1:14" ht="24" customHeight="1">
      <c r="A220" s="209"/>
      <c r="B220" s="210"/>
      <c r="C220" s="210"/>
      <c r="D220" s="221">
        <v>2022</v>
      </c>
      <c r="E220" s="222">
        <f>F220+G220+J220+K220</f>
        <v>0</v>
      </c>
      <c r="F220" s="217"/>
      <c r="G220" s="218">
        <f>SUM(G221:G227)</f>
        <v>0</v>
      </c>
      <c r="H220" s="218">
        <f>SUM(H221:H227)</f>
        <v>0</v>
      </c>
      <c r="I220" s="218">
        <f>SUM(I221:I227)</f>
        <v>0</v>
      </c>
      <c r="J220" s="219">
        <f>SUM(J221:J227)</f>
        <v>0</v>
      </c>
      <c r="K220" s="218">
        <f>SUM(K221:K227)</f>
        <v>0</v>
      </c>
      <c r="L220" s="185"/>
      <c r="M220" s="112"/>
      <c r="N220" s="113"/>
    </row>
    <row r="221" spans="1:14" ht="23.25" customHeight="1">
      <c r="A221" s="209"/>
      <c r="B221" s="210"/>
      <c r="C221" s="210"/>
      <c r="D221" s="221"/>
      <c r="E221" s="222"/>
      <c r="F221" s="61"/>
      <c r="G221" s="61"/>
      <c r="H221" s="61"/>
      <c r="I221" s="162"/>
      <c r="J221" s="21">
        <v>0</v>
      </c>
      <c r="K221" s="61"/>
      <c r="L221" s="201" t="s">
        <v>62</v>
      </c>
      <c r="M221" s="112"/>
      <c r="N221" s="113"/>
    </row>
    <row r="222" spans="1:14" ht="24.75" customHeight="1">
      <c r="A222" s="209"/>
      <c r="B222" s="210"/>
      <c r="C222" s="210"/>
      <c r="D222" s="221"/>
      <c r="E222" s="222"/>
      <c r="F222" s="52"/>
      <c r="G222" s="52"/>
      <c r="H222" s="52"/>
      <c r="I222" s="53"/>
      <c r="J222" s="21">
        <v>0</v>
      </c>
      <c r="K222" s="52"/>
      <c r="L222" s="56" t="s">
        <v>97</v>
      </c>
      <c r="M222" s="112"/>
      <c r="N222" s="113"/>
    </row>
    <row r="223" spans="1:14" ht="24.75" customHeight="1">
      <c r="A223" s="209"/>
      <c r="B223" s="210"/>
      <c r="C223" s="210"/>
      <c r="D223" s="221"/>
      <c r="E223" s="222"/>
      <c r="F223" s="52"/>
      <c r="G223" s="52"/>
      <c r="H223" s="52"/>
      <c r="I223" s="53"/>
      <c r="J223" s="21">
        <v>0</v>
      </c>
      <c r="K223" s="52"/>
      <c r="L223" s="56" t="s">
        <v>98</v>
      </c>
      <c r="M223" s="112"/>
      <c r="N223" s="113"/>
    </row>
    <row r="224" spans="1:14" ht="24.75" customHeight="1">
      <c r="A224" s="209"/>
      <c r="B224" s="210"/>
      <c r="C224" s="210"/>
      <c r="D224" s="221"/>
      <c r="E224" s="222"/>
      <c r="F224" s="52"/>
      <c r="G224" s="52"/>
      <c r="H224" s="52"/>
      <c r="I224" s="53"/>
      <c r="J224" s="21">
        <v>0</v>
      </c>
      <c r="K224" s="52"/>
      <c r="L224" s="56" t="s">
        <v>99</v>
      </c>
      <c r="M224" s="112"/>
      <c r="N224" s="113"/>
    </row>
    <row r="225" spans="1:14" ht="24.75" customHeight="1">
      <c r="A225" s="209"/>
      <c r="B225" s="210"/>
      <c r="C225" s="210"/>
      <c r="D225" s="221"/>
      <c r="E225" s="222"/>
      <c r="F225" s="52"/>
      <c r="G225" s="52"/>
      <c r="H225" s="52"/>
      <c r="I225" s="53"/>
      <c r="J225" s="21">
        <v>0</v>
      </c>
      <c r="K225" s="52"/>
      <c r="L225" s="168" t="s">
        <v>102</v>
      </c>
      <c r="M225" s="112"/>
      <c r="N225" s="113"/>
    </row>
    <row r="226" spans="1:14" ht="24.75" customHeight="1">
      <c r="A226" s="209"/>
      <c r="B226" s="210"/>
      <c r="C226" s="210"/>
      <c r="D226" s="221"/>
      <c r="E226" s="222"/>
      <c r="F226" s="52"/>
      <c r="G226" s="52"/>
      <c r="H226" s="52"/>
      <c r="I226" s="53"/>
      <c r="J226" s="21">
        <v>0</v>
      </c>
      <c r="K226" s="52"/>
      <c r="L226" s="56" t="s">
        <v>100</v>
      </c>
      <c r="M226" s="112"/>
      <c r="N226" s="113"/>
    </row>
    <row r="227" spans="1:14" ht="24.75" customHeight="1">
      <c r="A227" s="209"/>
      <c r="B227" s="210"/>
      <c r="C227" s="210"/>
      <c r="D227" s="221"/>
      <c r="E227" s="222"/>
      <c r="F227" s="70"/>
      <c r="G227" s="70"/>
      <c r="H227" s="70"/>
      <c r="I227" s="71"/>
      <c r="J227" s="21">
        <v>0</v>
      </c>
      <c r="K227" s="70"/>
      <c r="L227" s="168" t="s">
        <v>101</v>
      </c>
      <c r="M227" s="112"/>
      <c r="N227" s="113"/>
    </row>
    <row r="228" spans="1:14" ht="24.75" customHeight="1">
      <c r="A228" s="209"/>
      <c r="B228" s="210"/>
      <c r="C228" s="210"/>
      <c r="D228" s="169">
        <v>2023</v>
      </c>
      <c r="E228" s="172">
        <f>F228+G228+J228+K228+I228</f>
        <v>4</v>
      </c>
      <c r="F228" s="219">
        <f>SUM(F229:F234)</f>
        <v>0</v>
      </c>
      <c r="G228" s="219">
        <f>SUM(G229:G234)</f>
        <v>0</v>
      </c>
      <c r="H228" s="219">
        <f>SUM(H229:H234)</f>
        <v>0</v>
      </c>
      <c r="I228" s="223">
        <f>SUM(I229:I234)</f>
        <v>0</v>
      </c>
      <c r="J228" s="223">
        <f>SUM(J229:J234)</f>
        <v>4</v>
      </c>
      <c r="K228" s="218">
        <f>SUM(K229:K241)</f>
        <v>0</v>
      </c>
      <c r="L228" s="174"/>
      <c r="M228" s="112"/>
      <c r="N228" s="113"/>
    </row>
    <row r="229" spans="1:14" ht="24.75" customHeight="1">
      <c r="A229" s="209"/>
      <c r="B229" s="210"/>
      <c r="C229" s="210"/>
      <c r="D229" s="224"/>
      <c r="E229" s="172"/>
      <c r="F229" s="61"/>
      <c r="G229" s="61"/>
      <c r="H229" s="61"/>
      <c r="I229" s="162"/>
      <c r="J229" s="124">
        <v>4</v>
      </c>
      <c r="K229" s="61"/>
      <c r="L229" s="201" t="s">
        <v>62</v>
      </c>
      <c r="M229" s="112"/>
      <c r="N229" s="113"/>
    </row>
    <row r="230" spans="1:14" ht="24.75" customHeight="1">
      <c r="A230" s="209"/>
      <c r="B230" s="210"/>
      <c r="C230" s="210"/>
      <c r="D230" s="224"/>
      <c r="E230" s="172"/>
      <c r="F230" s="52"/>
      <c r="G230" s="52"/>
      <c r="H230" s="52"/>
      <c r="I230" s="53"/>
      <c r="J230" s="21">
        <v>0</v>
      </c>
      <c r="K230" s="52"/>
      <c r="L230" s="56" t="s">
        <v>97</v>
      </c>
      <c r="M230" s="112"/>
      <c r="N230" s="113"/>
    </row>
    <row r="231" spans="1:14" ht="24.75" customHeight="1">
      <c r="A231" s="209"/>
      <c r="B231" s="210"/>
      <c r="C231" s="210"/>
      <c r="D231" s="224"/>
      <c r="E231" s="172"/>
      <c r="F231" s="52"/>
      <c r="G231" s="52"/>
      <c r="H231" s="52"/>
      <c r="I231" s="53"/>
      <c r="J231" s="21">
        <v>0</v>
      </c>
      <c r="K231" s="52"/>
      <c r="L231" s="56" t="s">
        <v>98</v>
      </c>
      <c r="M231" s="112"/>
      <c r="N231" s="113"/>
    </row>
    <row r="232" spans="1:14" ht="24" customHeight="1">
      <c r="A232" s="209"/>
      <c r="B232" s="210"/>
      <c r="C232" s="210"/>
      <c r="D232" s="224"/>
      <c r="E232" s="172"/>
      <c r="F232" s="52"/>
      <c r="G232" s="52"/>
      <c r="H232" s="52"/>
      <c r="I232" s="53"/>
      <c r="J232" s="21">
        <v>0</v>
      </c>
      <c r="K232" s="52"/>
      <c r="L232" s="56" t="s">
        <v>99</v>
      </c>
      <c r="M232" s="112"/>
      <c r="N232" s="113"/>
    </row>
    <row r="233" spans="1:14" ht="24" customHeight="1">
      <c r="A233" s="209"/>
      <c r="B233" s="210"/>
      <c r="C233" s="210"/>
      <c r="D233" s="224"/>
      <c r="E233" s="172"/>
      <c r="F233" s="52"/>
      <c r="G233" s="52"/>
      <c r="H233" s="52"/>
      <c r="I233" s="53"/>
      <c r="J233" s="21">
        <v>0</v>
      </c>
      <c r="K233" s="52"/>
      <c r="L233" s="168" t="s">
        <v>102</v>
      </c>
      <c r="M233" s="112"/>
      <c r="N233" s="113"/>
    </row>
    <row r="234" spans="1:14" ht="24" customHeight="1">
      <c r="A234" s="209"/>
      <c r="B234" s="210"/>
      <c r="C234" s="210"/>
      <c r="D234" s="224"/>
      <c r="E234" s="172"/>
      <c r="F234" s="52"/>
      <c r="G234" s="52"/>
      <c r="H234" s="52"/>
      <c r="I234" s="53"/>
      <c r="J234" s="21"/>
      <c r="K234" s="52"/>
      <c r="L234" s="56" t="s">
        <v>100</v>
      </c>
      <c r="M234" s="112"/>
      <c r="N234" s="113"/>
    </row>
    <row r="235" spans="1:14" ht="24" customHeight="1">
      <c r="A235" s="209"/>
      <c r="B235" s="210"/>
      <c r="C235" s="210"/>
      <c r="D235" s="169">
        <v>2024</v>
      </c>
      <c r="E235" s="172">
        <f>F235+G235+J235+K235</f>
        <v>5</v>
      </c>
      <c r="F235" s="218">
        <f>SUM(F236:F248)</f>
        <v>0</v>
      </c>
      <c r="G235" s="218">
        <f>H235+I235</f>
        <v>0</v>
      </c>
      <c r="H235" s="218">
        <f>SUM(H236:H248)</f>
        <v>0</v>
      </c>
      <c r="I235" s="218">
        <v>0</v>
      </c>
      <c r="J235" s="219">
        <f>J236</f>
        <v>5</v>
      </c>
      <c r="K235" s="218">
        <f>SUM(K236:K248)</f>
        <v>0</v>
      </c>
      <c r="L235" s="174"/>
      <c r="M235" s="112"/>
      <c r="N235" s="113"/>
    </row>
    <row r="236" spans="1:14" ht="24" customHeight="1">
      <c r="A236" s="209"/>
      <c r="B236" s="210"/>
      <c r="C236" s="210"/>
      <c r="D236" s="224"/>
      <c r="E236" s="172"/>
      <c r="F236" s="70"/>
      <c r="G236" s="70"/>
      <c r="H236" s="70"/>
      <c r="I236" s="71"/>
      <c r="J236" s="21">
        <v>5</v>
      </c>
      <c r="K236" s="70"/>
      <c r="L236" s="201" t="s">
        <v>62</v>
      </c>
      <c r="M236" s="112"/>
      <c r="N236" s="113"/>
    </row>
    <row r="237" spans="1:14" ht="24" customHeight="1">
      <c r="A237" s="209"/>
      <c r="B237" s="210"/>
      <c r="C237" s="210"/>
      <c r="D237" s="224"/>
      <c r="E237" s="172"/>
      <c r="F237" s="70"/>
      <c r="G237" s="70"/>
      <c r="H237" s="70"/>
      <c r="I237" s="71"/>
      <c r="J237" s="21">
        <v>0</v>
      </c>
      <c r="K237" s="70"/>
      <c r="L237" s="208"/>
      <c r="M237" s="112"/>
      <c r="N237" s="113"/>
    </row>
    <row r="238" spans="1:14" ht="24" customHeight="1">
      <c r="A238" s="209"/>
      <c r="B238" s="210"/>
      <c r="C238" s="210"/>
      <c r="D238" s="169">
        <v>2025</v>
      </c>
      <c r="E238" s="172">
        <f>F238+G238+J238+K238</f>
        <v>5</v>
      </c>
      <c r="F238" s="218">
        <f>SUM(F239:F251)</f>
        <v>0</v>
      </c>
      <c r="G238" s="218">
        <f>H238+I238</f>
        <v>0</v>
      </c>
      <c r="H238" s="218">
        <f>SUM(H239:H251)</f>
        <v>0</v>
      </c>
      <c r="I238" s="218">
        <v>0</v>
      </c>
      <c r="J238" s="219">
        <f>J239</f>
        <v>5</v>
      </c>
      <c r="K238" s="218">
        <f>SUM(K239:K251)</f>
        <v>0</v>
      </c>
      <c r="L238" s="174"/>
      <c r="M238" s="112"/>
      <c r="N238" s="113"/>
    </row>
    <row r="239" spans="1:14" ht="24" customHeight="1">
      <c r="A239" s="209"/>
      <c r="B239" s="210"/>
      <c r="C239" s="210"/>
      <c r="D239" s="224"/>
      <c r="E239" s="172"/>
      <c r="F239" s="70"/>
      <c r="G239" s="70"/>
      <c r="H239" s="70"/>
      <c r="I239" s="71"/>
      <c r="J239" s="21">
        <v>5</v>
      </c>
      <c r="K239" s="70"/>
      <c r="L239" s="201" t="s">
        <v>62</v>
      </c>
      <c r="M239" s="112"/>
      <c r="N239" s="113"/>
    </row>
    <row r="240" spans="1:14" ht="24" customHeight="1" hidden="1">
      <c r="A240" s="209"/>
      <c r="B240" s="210"/>
      <c r="C240" s="210"/>
      <c r="D240" s="224"/>
      <c r="E240" s="172"/>
      <c r="F240" s="70"/>
      <c r="G240" s="70"/>
      <c r="H240" s="70"/>
      <c r="I240" s="71"/>
      <c r="J240" s="21">
        <v>0</v>
      </c>
      <c r="K240" s="70"/>
      <c r="L240" s="208"/>
      <c r="M240" s="112"/>
      <c r="N240" s="113"/>
    </row>
    <row r="241" spans="1:14" ht="24.75" customHeight="1">
      <c r="A241" s="209"/>
      <c r="B241" s="210"/>
      <c r="C241" s="210"/>
      <c r="D241" s="224"/>
      <c r="E241" s="172"/>
      <c r="F241" s="70"/>
      <c r="G241" s="70"/>
      <c r="H241" s="70"/>
      <c r="I241" s="71"/>
      <c r="J241" s="21">
        <v>0</v>
      </c>
      <c r="K241" s="70"/>
      <c r="L241" s="168" t="s">
        <v>101</v>
      </c>
      <c r="M241" s="112"/>
      <c r="N241" s="113"/>
    </row>
    <row r="242" spans="1:14" ht="33" customHeight="1">
      <c r="A242" s="225" t="s">
        <v>106</v>
      </c>
      <c r="B242" s="226" t="s">
        <v>107</v>
      </c>
      <c r="C242" s="226"/>
      <c r="D242" s="227">
        <v>2017</v>
      </c>
      <c r="E242" s="38">
        <f aca="true" t="shared" si="44" ref="E242:E252">F242+G242+J242+K242</f>
        <v>169.78</v>
      </c>
      <c r="F242" s="38"/>
      <c r="G242" s="38">
        <f aca="true" t="shared" si="45" ref="G242:G255">H242+I242</f>
        <v>155.2</v>
      </c>
      <c r="H242" s="38"/>
      <c r="I242" s="38">
        <v>155.2</v>
      </c>
      <c r="J242" s="39">
        <f>15-0.42</f>
        <v>14.58</v>
      </c>
      <c r="K242" s="38"/>
      <c r="L242" s="48" t="s">
        <v>27</v>
      </c>
      <c r="M242" s="112" t="s">
        <v>108</v>
      </c>
      <c r="N242" s="113"/>
    </row>
    <row r="243" spans="1:14" ht="31.5" customHeight="1">
      <c r="A243" s="225"/>
      <c r="B243" s="226"/>
      <c r="C243" s="226"/>
      <c r="D243" s="228">
        <v>2018</v>
      </c>
      <c r="E243" s="52">
        <f t="shared" si="44"/>
        <v>162.2</v>
      </c>
      <c r="F243" s="52"/>
      <c r="G243" s="52">
        <f t="shared" si="45"/>
        <v>162.2</v>
      </c>
      <c r="H243" s="52"/>
      <c r="I243" s="52">
        <v>162.2</v>
      </c>
      <c r="J243" s="21"/>
      <c r="K243" s="52"/>
      <c r="L243" s="48" t="s">
        <v>27</v>
      </c>
      <c r="M243" s="112"/>
      <c r="N243" s="113"/>
    </row>
    <row r="244" spans="1:14" ht="27.75" customHeight="1">
      <c r="A244" s="225"/>
      <c r="B244" s="226"/>
      <c r="C244" s="226"/>
      <c r="D244" s="228">
        <v>2019</v>
      </c>
      <c r="E244" s="52">
        <f t="shared" si="44"/>
        <v>481.1</v>
      </c>
      <c r="F244" s="52"/>
      <c r="G244" s="52">
        <f t="shared" si="45"/>
        <v>481.1</v>
      </c>
      <c r="H244" s="52"/>
      <c r="I244" s="52">
        <v>481.1</v>
      </c>
      <c r="J244" s="21"/>
      <c r="K244" s="52"/>
      <c r="L244" s="48" t="s">
        <v>27</v>
      </c>
      <c r="M244" s="112"/>
      <c r="N244" s="113"/>
    </row>
    <row r="245" spans="1:14" ht="24" customHeight="1">
      <c r="A245" s="225"/>
      <c r="B245" s="226"/>
      <c r="C245" s="226"/>
      <c r="D245" s="228">
        <v>2020</v>
      </c>
      <c r="E245" s="52">
        <f t="shared" si="44"/>
        <v>163.2</v>
      </c>
      <c r="F245" s="52"/>
      <c r="G245" s="52">
        <f t="shared" si="45"/>
        <v>163.2</v>
      </c>
      <c r="H245" s="52"/>
      <c r="I245" s="52">
        <v>163.2</v>
      </c>
      <c r="J245" s="21"/>
      <c r="K245" s="52"/>
      <c r="L245" s="48" t="s">
        <v>27</v>
      </c>
      <c r="M245" s="112"/>
      <c r="N245" s="113"/>
    </row>
    <row r="246" spans="1:14" ht="24.75" customHeight="1">
      <c r="A246" s="225"/>
      <c r="B246" s="226"/>
      <c r="C246" s="226"/>
      <c r="D246" s="228">
        <v>2021</v>
      </c>
      <c r="E246" s="52">
        <f t="shared" si="44"/>
        <v>0</v>
      </c>
      <c r="F246" s="52"/>
      <c r="G246" s="52">
        <f t="shared" si="45"/>
        <v>0</v>
      </c>
      <c r="H246" s="52"/>
      <c r="I246" s="52">
        <v>0</v>
      </c>
      <c r="J246" s="21"/>
      <c r="K246" s="52"/>
      <c r="L246" s="48" t="s">
        <v>27</v>
      </c>
      <c r="M246" s="112"/>
      <c r="N246" s="113"/>
    </row>
    <row r="247" spans="1:14" ht="46.5" customHeight="1">
      <c r="A247" s="225"/>
      <c r="B247" s="226"/>
      <c r="C247" s="226"/>
      <c r="D247" s="23">
        <v>2022</v>
      </c>
      <c r="E247" s="52">
        <f t="shared" si="44"/>
        <v>0</v>
      </c>
      <c r="F247" s="52"/>
      <c r="G247" s="52">
        <f t="shared" si="45"/>
        <v>0</v>
      </c>
      <c r="H247" s="52"/>
      <c r="I247" s="52">
        <v>0</v>
      </c>
      <c r="J247" s="21"/>
      <c r="K247" s="52"/>
      <c r="L247" s="48" t="s">
        <v>27</v>
      </c>
      <c r="M247" s="112"/>
      <c r="N247" s="113"/>
    </row>
    <row r="248" spans="1:14" ht="30" customHeight="1">
      <c r="A248" s="225"/>
      <c r="B248" s="226"/>
      <c r="C248" s="226"/>
      <c r="D248" s="229">
        <v>2023</v>
      </c>
      <c r="E248" s="158">
        <f t="shared" si="44"/>
        <v>0</v>
      </c>
      <c r="F248" s="158"/>
      <c r="G248" s="158">
        <f t="shared" si="45"/>
        <v>0</v>
      </c>
      <c r="H248" s="158"/>
      <c r="I248" s="158">
        <v>0</v>
      </c>
      <c r="J248" s="160"/>
      <c r="K248" s="158"/>
      <c r="L248" s="48" t="s">
        <v>27</v>
      </c>
      <c r="M248" s="112"/>
      <c r="N248" s="113"/>
    </row>
    <row r="249" spans="1:14" ht="46.5" customHeight="1">
      <c r="A249" s="230" t="s">
        <v>109</v>
      </c>
      <c r="B249" s="226" t="s">
        <v>110</v>
      </c>
      <c r="C249" s="226"/>
      <c r="D249" s="231">
        <v>2019</v>
      </c>
      <c r="E249" s="218">
        <f t="shared" si="44"/>
        <v>96.58</v>
      </c>
      <c r="F249" s="218"/>
      <c r="G249" s="218">
        <f t="shared" si="45"/>
        <v>0</v>
      </c>
      <c r="H249" s="218"/>
      <c r="I249" s="218"/>
      <c r="J249" s="219">
        <v>96.58</v>
      </c>
      <c r="K249" s="218"/>
      <c r="L249" s="232" t="s">
        <v>111</v>
      </c>
      <c r="M249" s="112"/>
      <c r="N249" s="113"/>
    </row>
    <row r="250" spans="1:14" ht="78.75" customHeight="1">
      <c r="A250" s="233" t="s">
        <v>112</v>
      </c>
      <c r="B250" s="234" t="s">
        <v>113</v>
      </c>
      <c r="C250" s="234"/>
      <c r="D250" s="235">
        <v>2017</v>
      </c>
      <c r="E250" s="236">
        <f t="shared" si="44"/>
        <v>2375.768</v>
      </c>
      <c r="F250" s="236"/>
      <c r="G250" s="236">
        <f t="shared" si="45"/>
        <v>0</v>
      </c>
      <c r="H250" s="237"/>
      <c r="I250" s="237"/>
      <c r="J250" s="74">
        <v>2375.768</v>
      </c>
      <c r="K250" s="236"/>
      <c r="L250" s="238" t="s">
        <v>114</v>
      </c>
      <c r="M250" s="112" t="s">
        <v>115</v>
      </c>
      <c r="N250" s="113"/>
    </row>
    <row r="251" spans="1:14" s="245" customFormat="1" ht="46.5" customHeight="1">
      <c r="A251" s="239" t="s">
        <v>116</v>
      </c>
      <c r="B251" s="240" t="s">
        <v>117</v>
      </c>
      <c r="C251" s="240"/>
      <c r="D251" s="241">
        <v>2019</v>
      </c>
      <c r="E251" s="38">
        <f t="shared" si="44"/>
        <v>720</v>
      </c>
      <c r="F251" s="38"/>
      <c r="G251" s="38">
        <f t="shared" si="45"/>
        <v>390</v>
      </c>
      <c r="H251" s="38">
        <v>0</v>
      </c>
      <c r="I251" s="38">
        <f>I253</f>
        <v>390</v>
      </c>
      <c r="J251" s="39">
        <f>330.278-0.278</f>
        <v>330</v>
      </c>
      <c r="K251" s="38"/>
      <c r="L251" s="242" t="s">
        <v>118</v>
      </c>
      <c r="M251" s="243"/>
      <c r="N251" s="244"/>
    </row>
    <row r="252" spans="1:14" ht="37.5" customHeight="1">
      <c r="A252" s="239"/>
      <c r="B252" s="240"/>
      <c r="C252" s="240"/>
      <c r="D252" s="18">
        <v>2021</v>
      </c>
      <c r="E252" s="38">
        <f t="shared" si="44"/>
        <v>0</v>
      </c>
      <c r="F252" s="52"/>
      <c r="G252" s="38">
        <f t="shared" si="45"/>
        <v>0</v>
      </c>
      <c r="H252" s="53"/>
      <c r="I252" s="53"/>
      <c r="J252" s="21"/>
      <c r="K252" s="52"/>
      <c r="L252" s="48"/>
      <c r="M252" s="112"/>
      <c r="N252" s="113"/>
    </row>
    <row r="253" spans="1:14" ht="38.25" customHeight="1">
      <c r="A253" s="239"/>
      <c r="B253" s="240"/>
      <c r="C253" s="240"/>
      <c r="D253" s="246">
        <v>2022</v>
      </c>
      <c r="E253" s="38">
        <f>J253+I253</f>
        <v>410.53</v>
      </c>
      <c r="F253" s="164"/>
      <c r="G253" s="38">
        <f t="shared" si="45"/>
        <v>390</v>
      </c>
      <c r="H253" s="166">
        <v>0</v>
      </c>
      <c r="I253" s="166">
        <v>390</v>
      </c>
      <c r="J253" s="167">
        <v>20.53</v>
      </c>
      <c r="K253" s="164"/>
      <c r="L253" s="48" t="s">
        <v>26</v>
      </c>
      <c r="M253" s="112"/>
      <c r="N253" s="113"/>
    </row>
    <row r="254" spans="1:14" ht="91.5" customHeight="1">
      <c r="A254" s="247" t="s">
        <v>119</v>
      </c>
      <c r="B254" s="248" t="s">
        <v>120</v>
      </c>
      <c r="C254" s="248"/>
      <c r="D254" s="249">
        <v>2019</v>
      </c>
      <c r="E254" s="250">
        <f aca="true" t="shared" si="46" ref="E254:E255">F254+G254+J254+K254</f>
        <v>80.293</v>
      </c>
      <c r="F254" s="158"/>
      <c r="G254" s="251">
        <f t="shared" si="45"/>
        <v>0</v>
      </c>
      <c r="H254" s="251">
        <v>0</v>
      </c>
      <c r="I254" s="251">
        <v>0</v>
      </c>
      <c r="J254" s="160">
        <f>19+61.293</f>
        <v>80.293</v>
      </c>
      <c r="K254" s="158">
        <v>0</v>
      </c>
      <c r="L254" s="252" t="s">
        <v>62</v>
      </c>
      <c r="M254" s="112" t="s">
        <v>121</v>
      </c>
      <c r="N254" s="113"/>
    </row>
    <row r="255" spans="1:14" ht="253.5" customHeight="1">
      <c r="A255" s="253" t="s">
        <v>122</v>
      </c>
      <c r="B255" s="254" t="s">
        <v>123</v>
      </c>
      <c r="C255" s="254"/>
      <c r="D255" s="255">
        <v>2019</v>
      </c>
      <c r="E255" s="256">
        <f t="shared" si="46"/>
        <v>0</v>
      </c>
      <c r="F255" s="218"/>
      <c r="G255" s="256">
        <f t="shared" si="45"/>
        <v>0</v>
      </c>
      <c r="H255" s="256">
        <v>0</v>
      </c>
      <c r="I255" s="256">
        <v>0</v>
      </c>
      <c r="J255" s="219">
        <v>0</v>
      </c>
      <c r="K255" s="218">
        <v>0</v>
      </c>
      <c r="L255" s="232" t="s">
        <v>70</v>
      </c>
      <c r="M255" s="112" t="s">
        <v>124</v>
      </c>
      <c r="N255" s="113"/>
    </row>
    <row r="256" spans="1:14" ht="31.5" customHeight="1">
      <c r="A256" s="253" t="s">
        <v>125</v>
      </c>
      <c r="B256" s="257" t="s">
        <v>126</v>
      </c>
      <c r="C256" s="257"/>
      <c r="D256" s="258">
        <v>2020</v>
      </c>
      <c r="E256" s="218">
        <f>SUM(E257:E264)</f>
        <v>2891.4799999999996</v>
      </c>
      <c r="F256" s="218">
        <f>SUM(F257:F264)</f>
        <v>0</v>
      </c>
      <c r="G256" s="218">
        <f>SUM(G257:G264)</f>
        <v>956</v>
      </c>
      <c r="H256" s="218">
        <f>SUM(H257:H264)</f>
        <v>0</v>
      </c>
      <c r="I256" s="218">
        <f>SUM(I257:I264)</f>
        <v>956</v>
      </c>
      <c r="J256" s="219">
        <f>SUM(J257:J264)</f>
        <v>1935.48</v>
      </c>
      <c r="K256" s="218">
        <f>SUM(K257:K266)</f>
        <v>0</v>
      </c>
      <c r="L256" s="232"/>
      <c r="M256" s="112"/>
      <c r="N256" s="113"/>
    </row>
    <row r="257" spans="1:14" ht="35.25" customHeight="1">
      <c r="A257" s="253"/>
      <c r="B257" s="257"/>
      <c r="C257" s="257"/>
      <c r="D257" s="259" t="s">
        <v>100</v>
      </c>
      <c r="E257" s="71">
        <f aca="true" t="shared" si="47" ref="E257:E265">F257+G257+J257+K257</f>
        <v>686.374</v>
      </c>
      <c r="F257" s="236"/>
      <c r="G257" s="162">
        <f aca="true" t="shared" si="48" ref="G257:G265">H257+I257</f>
        <v>0</v>
      </c>
      <c r="H257" s="73"/>
      <c r="I257" s="73">
        <v>0</v>
      </c>
      <c r="J257" s="74">
        <f>773.274-86.9</f>
        <v>686.374</v>
      </c>
      <c r="K257" s="236"/>
      <c r="L257" s="238" t="s">
        <v>127</v>
      </c>
      <c r="M257" s="49" t="s">
        <v>128</v>
      </c>
      <c r="N257" s="65"/>
    </row>
    <row r="258" spans="1:14" ht="36" customHeight="1">
      <c r="A258" s="253"/>
      <c r="B258" s="257"/>
      <c r="C258" s="257"/>
      <c r="D258" s="259" t="s">
        <v>100</v>
      </c>
      <c r="E258" s="71">
        <f t="shared" si="47"/>
        <v>668.4</v>
      </c>
      <c r="F258" s="52"/>
      <c r="G258" s="53">
        <f t="shared" si="48"/>
        <v>581.5</v>
      </c>
      <c r="H258" s="53"/>
      <c r="I258" s="53">
        <v>581.5</v>
      </c>
      <c r="J258" s="21">
        <v>86.9</v>
      </c>
      <c r="K258" s="52"/>
      <c r="L258" s="56" t="s">
        <v>129</v>
      </c>
      <c r="M258" s="49"/>
      <c r="N258" s="65"/>
    </row>
    <row r="259" spans="1:14" ht="31.5" customHeight="1">
      <c r="A259" s="253"/>
      <c r="B259" s="257"/>
      <c r="C259" s="257"/>
      <c r="D259" s="260" t="s">
        <v>27</v>
      </c>
      <c r="E259" s="71">
        <f t="shared" si="47"/>
        <v>958.006</v>
      </c>
      <c r="F259" s="52"/>
      <c r="G259" s="53">
        <f t="shared" si="48"/>
        <v>0</v>
      </c>
      <c r="H259" s="53"/>
      <c r="I259" s="53">
        <v>0</v>
      </c>
      <c r="J259" s="21">
        <f>1014.006-56</f>
        <v>958.006</v>
      </c>
      <c r="K259" s="52"/>
      <c r="L259" s="238" t="s">
        <v>130</v>
      </c>
      <c r="M259" s="49"/>
      <c r="N259" s="65"/>
    </row>
    <row r="260" spans="1:14" ht="46.5" customHeight="1">
      <c r="A260" s="253"/>
      <c r="B260" s="257"/>
      <c r="C260" s="257"/>
      <c r="D260" s="260" t="s">
        <v>27</v>
      </c>
      <c r="E260" s="71">
        <f t="shared" si="47"/>
        <v>430.5</v>
      </c>
      <c r="F260" s="61"/>
      <c r="G260" s="53">
        <f t="shared" si="48"/>
        <v>374.5</v>
      </c>
      <c r="H260" s="162"/>
      <c r="I260" s="162">
        <v>374.5</v>
      </c>
      <c r="J260" s="62">
        <v>56</v>
      </c>
      <c r="K260" s="61"/>
      <c r="L260" s="56" t="s">
        <v>131</v>
      </c>
      <c r="M260" s="49"/>
      <c r="N260" s="65"/>
    </row>
    <row r="261" spans="1:14" ht="50.25" customHeight="1">
      <c r="A261" s="253"/>
      <c r="B261" s="257"/>
      <c r="C261" s="257"/>
      <c r="D261" s="259" t="s">
        <v>97</v>
      </c>
      <c r="E261" s="71">
        <f t="shared" si="47"/>
        <v>0</v>
      </c>
      <c r="F261" s="52"/>
      <c r="G261" s="53">
        <f t="shared" si="48"/>
        <v>0</v>
      </c>
      <c r="H261" s="53"/>
      <c r="I261" s="53">
        <v>0</v>
      </c>
      <c r="J261" s="21">
        <v>0</v>
      </c>
      <c r="K261" s="52"/>
      <c r="L261" s="56" t="s">
        <v>132</v>
      </c>
      <c r="M261" s="49"/>
      <c r="N261" s="65"/>
    </row>
    <row r="262" spans="1:14" ht="48" customHeight="1">
      <c r="A262" s="253"/>
      <c r="B262" s="257"/>
      <c r="C262" s="257"/>
      <c r="D262" s="259" t="s">
        <v>98</v>
      </c>
      <c r="E262" s="71">
        <f t="shared" si="47"/>
        <v>0</v>
      </c>
      <c r="F262" s="52"/>
      <c r="G262" s="53">
        <f t="shared" si="48"/>
        <v>0</v>
      </c>
      <c r="H262" s="53"/>
      <c r="I262" s="53">
        <v>0</v>
      </c>
      <c r="J262" s="21">
        <v>0</v>
      </c>
      <c r="K262" s="52"/>
      <c r="L262" s="56" t="s">
        <v>133</v>
      </c>
      <c r="M262" s="49"/>
      <c r="N262" s="65"/>
    </row>
    <row r="263" spans="1:14" ht="55.5" customHeight="1">
      <c r="A263" s="253"/>
      <c r="B263" s="257"/>
      <c r="C263" s="257"/>
      <c r="D263" s="259" t="s">
        <v>99</v>
      </c>
      <c r="E263" s="71">
        <f t="shared" si="47"/>
        <v>0</v>
      </c>
      <c r="F263" s="52"/>
      <c r="G263" s="53">
        <f t="shared" si="48"/>
        <v>0</v>
      </c>
      <c r="H263" s="53"/>
      <c r="I263" s="53">
        <v>0</v>
      </c>
      <c r="J263" s="21">
        <v>0</v>
      </c>
      <c r="K263" s="52"/>
      <c r="L263" s="56" t="s">
        <v>134</v>
      </c>
      <c r="M263" s="49"/>
      <c r="N263" s="65"/>
    </row>
    <row r="264" spans="1:14" ht="53.25" customHeight="1">
      <c r="A264" s="253"/>
      <c r="B264" s="257"/>
      <c r="C264" s="257"/>
      <c r="D264" s="261" t="s">
        <v>102</v>
      </c>
      <c r="E264" s="71">
        <f t="shared" si="47"/>
        <v>148.2</v>
      </c>
      <c r="F264" s="70"/>
      <c r="G264" s="53">
        <f t="shared" si="48"/>
        <v>0</v>
      </c>
      <c r="H264" s="71"/>
      <c r="I264" s="53">
        <v>0</v>
      </c>
      <c r="J264" s="21">
        <v>148.2</v>
      </c>
      <c r="K264" s="70"/>
      <c r="L264" s="168" t="s">
        <v>135</v>
      </c>
      <c r="M264" s="49"/>
      <c r="N264" s="65"/>
    </row>
    <row r="265" spans="1:14" ht="36" customHeight="1">
      <c r="A265" s="253"/>
      <c r="B265" s="257"/>
      <c r="C265" s="257"/>
      <c r="D265" s="262"/>
      <c r="E265" s="70">
        <f t="shared" si="47"/>
        <v>151.8</v>
      </c>
      <c r="F265" s="70"/>
      <c r="G265" s="52">
        <f t="shared" si="48"/>
        <v>0</v>
      </c>
      <c r="H265" s="70"/>
      <c r="I265" s="52">
        <v>0</v>
      </c>
      <c r="J265" s="21">
        <f>J266</f>
        <v>151.8</v>
      </c>
      <c r="K265" s="70"/>
      <c r="L265" s="263"/>
      <c r="M265" s="49"/>
      <c r="N265" s="65"/>
    </row>
    <row r="266" spans="1:14" ht="31.5" customHeight="1">
      <c r="A266" s="253"/>
      <c r="B266" s="257"/>
      <c r="C266" s="257"/>
      <c r="D266" s="264"/>
      <c r="E266" s="71">
        <f>J266+I266+G266</f>
        <v>151.8</v>
      </c>
      <c r="F266" s="71"/>
      <c r="G266" s="71">
        <v>0</v>
      </c>
      <c r="H266" s="71"/>
      <c r="I266" s="71">
        <v>0</v>
      </c>
      <c r="J266" s="265">
        <v>151.8</v>
      </c>
      <c r="K266" s="70"/>
      <c r="L266" s="266" t="s">
        <v>62</v>
      </c>
      <c r="M266" s="49"/>
      <c r="N266" s="65"/>
    </row>
    <row r="267" spans="1:14" ht="60.75" customHeight="1">
      <c r="A267" s="267" t="s">
        <v>136</v>
      </c>
      <c r="B267" s="268" t="s">
        <v>137</v>
      </c>
      <c r="C267" s="268"/>
      <c r="D267" s="72">
        <v>2022</v>
      </c>
      <c r="E267" s="53">
        <f aca="true" t="shared" si="49" ref="E267:E269">F267+G267+J267+K267</f>
        <v>45</v>
      </c>
      <c r="F267" s="52"/>
      <c r="G267" s="53">
        <f aca="true" t="shared" si="50" ref="G267:G269">H267+I267</f>
        <v>0</v>
      </c>
      <c r="H267" s="53"/>
      <c r="I267" s="53">
        <v>0</v>
      </c>
      <c r="J267" s="21">
        <v>45</v>
      </c>
      <c r="K267" s="52"/>
      <c r="L267" s="269" t="s">
        <v>62</v>
      </c>
      <c r="M267" s="49"/>
      <c r="N267" s="65"/>
    </row>
    <row r="268" spans="1:14" ht="60.75" customHeight="1">
      <c r="A268" s="267"/>
      <c r="B268" s="268"/>
      <c r="C268" s="268"/>
      <c r="D268" s="264">
        <v>2023</v>
      </c>
      <c r="E268" s="71">
        <f t="shared" si="49"/>
        <v>253.5</v>
      </c>
      <c r="F268" s="70"/>
      <c r="G268" s="71">
        <f t="shared" si="50"/>
        <v>0</v>
      </c>
      <c r="H268" s="71"/>
      <c r="I268" s="71">
        <v>0</v>
      </c>
      <c r="J268" s="270">
        <v>253.5</v>
      </c>
      <c r="K268" s="70"/>
      <c r="L268" s="271" t="s">
        <v>62</v>
      </c>
      <c r="M268" s="272"/>
      <c r="N268" s="65"/>
    </row>
    <row r="269" spans="1:14" ht="60.75" customHeight="1">
      <c r="A269" s="273" t="s">
        <v>138</v>
      </c>
      <c r="B269" s="274" t="s">
        <v>139</v>
      </c>
      <c r="C269" s="274"/>
      <c r="D269" s="72">
        <v>2023</v>
      </c>
      <c r="E269" s="53">
        <f t="shared" si="49"/>
        <v>50</v>
      </c>
      <c r="F269" s="52"/>
      <c r="G269" s="53">
        <f t="shared" si="50"/>
        <v>50</v>
      </c>
      <c r="H269" s="53"/>
      <c r="I269" s="53">
        <v>50</v>
      </c>
      <c r="J269" s="21">
        <v>0</v>
      </c>
      <c r="K269" s="52"/>
      <c r="L269" s="78" t="s">
        <v>140</v>
      </c>
      <c r="M269" s="49"/>
      <c r="N269" s="65"/>
    </row>
    <row r="270" spans="1:14" ht="34.5" customHeight="1">
      <c r="A270" s="275"/>
      <c r="B270" s="276" t="s">
        <v>141</v>
      </c>
      <c r="C270" s="276"/>
      <c r="D270" s="277">
        <v>2017</v>
      </c>
      <c r="E270" s="61">
        <f>E59+E86+E92+E102+E111+E121+E127+E242+E250</f>
        <v>3516.342</v>
      </c>
      <c r="F270" s="61">
        <f>F59+F86+F92+F102+F111+F121+F127+F242+F250</f>
        <v>0</v>
      </c>
      <c r="G270" s="61">
        <f>G59+G86+G92+G102+G111+G121+G127+G242+G250</f>
        <v>205.2</v>
      </c>
      <c r="H270" s="61">
        <f>H59+H86+H92+H102+H111+H121+H127+H242+H250</f>
        <v>0</v>
      </c>
      <c r="I270" s="61">
        <f>I59+I86+I92+I102+I111+I121+I127+I242+I250</f>
        <v>205.2</v>
      </c>
      <c r="J270" s="62">
        <f>J59+J86+J92+J102+J111+J121+J127+J242+J250</f>
        <v>3311.142</v>
      </c>
      <c r="K270" s="61">
        <f>K59+K86+K92+K102+K111+K121+K127+K242+K250</f>
        <v>0</v>
      </c>
      <c r="L270" s="278"/>
      <c r="M270" s="279"/>
      <c r="N270" s="280"/>
    </row>
    <row r="271" spans="1:14" ht="32.25" customHeight="1">
      <c r="A271" s="275"/>
      <c r="B271" s="276"/>
      <c r="C271" s="276"/>
      <c r="D271" s="281">
        <v>2018</v>
      </c>
      <c r="E271" s="52">
        <f>E60+E87+E93+E103+E113+E122+E134+E243</f>
        <v>3449.7360099999996</v>
      </c>
      <c r="F271" s="52">
        <f>F60+F87+F93+F103+F113+F122+F134+F243</f>
        <v>0</v>
      </c>
      <c r="G271" s="52">
        <f>G60+G87+G93+G103+G113+G122+G134+G243</f>
        <v>162.2</v>
      </c>
      <c r="H271" s="52">
        <f>H60+H87+H93+H103+H113+H122+H134+H243</f>
        <v>0</v>
      </c>
      <c r="I271" s="52">
        <f>I60+I87+I93+I103+I113+I122+I134+I243</f>
        <v>162.2</v>
      </c>
      <c r="J271" s="21">
        <f>J60+J87+J93+J103+J113+J122+J134+J243</f>
        <v>3287.53601</v>
      </c>
      <c r="K271" s="52">
        <f>K60+K87+K93+K103+K113+K122+K134+K243</f>
        <v>0</v>
      </c>
      <c r="L271" s="282"/>
      <c r="M271" s="279"/>
      <c r="N271" s="280"/>
    </row>
    <row r="272" spans="1:14" ht="32.25" customHeight="1">
      <c r="A272" s="275"/>
      <c r="B272" s="276"/>
      <c r="C272" s="276"/>
      <c r="D272" s="281">
        <v>2019</v>
      </c>
      <c r="E272" s="52">
        <f>E61+E88+E95+E104+E114+E123+E142+E197+E244+E249+E251+E254+E255</f>
        <v>2242.043</v>
      </c>
      <c r="F272" s="52">
        <f>F61+F88+F95+F104+F114+F123+F142+F197+F244+F249+F251+F254+F255</f>
        <v>0</v>
      </c>
      <c r="G272" s="52">
        <f>G61+G88+G95+G104+G114+G123+G142+G197+G244+G249+G251+G254+G255</f>
        <v>921.1</v>
      </c>
      <c r="H272" s="52">
        <f>H61+H88+H95+H104+H114+H123+H142+H197+H244+H249+H251+H254+H255</f>
        <v>0</v>
      </c>
      <c r="I272" s="52">
        <f>I61+I88+I95+I104+I114+I123+I142+I197+I244+I249+I251+I254+I255</f>
        <v>921.1</v>
      </c>
      <c r="J272" s="21">
        <f>J61+J88+J95+J104+J114+J123+J142+J197+J244+J249+J251+J254+J255</f>
        <v>1320.9430000000002</v>
      </c>
      <c r="K272" s="52">
        <f>K61+K88+K95+K104+K114+K123+K142+K197+K244+K249+K251+K254+K255</f>
        <v>0</v>
      </c>
      <c r="L272" s="282"/>
      <c r="M272" s="279"/>
      <c r="N272" s="280"/>
    </row>
    <row r="273" spans="1:14" ht="32.25" customHeight="1">
      <c r="A273" s="275"/>
      <c r="B273" s="276"/>
      <c r="C273" s="276"/>
      <c r="D273" s="281">
        <v>2020</v>
      </c>
      <c r="E273" s="52">
        <f>E62+E89+E96+E105+E115+E124+E150+E204+E245+E47+E256+E56</f>
        <v>4781.339999999999</v>
      </c>
      <c r="F273" s="52">
        <f>F62+F89+F96+F105+F115+F124+F150+F204+F245+F47+F256+F56</f>
        <v>0</v>
      </c>
      <c r="G273" s="52">
        <f>G62+G89+G96+G105+G115+G124+G150+G204+G245+G47+G256+G56</f>
        <v>2236.2</v>
      </c>
      <c r="H273" s="52">
        <f>H62+H89+H96+H105+H115+H124+H150+H204+H245+H47+H256+H56</f>
        <v>1094.7</v>
      </c>
      <c r="I273" s="52">
        <f>I62+I89+I96+I105+I115+I124+I150+I204+I245+I47+I256+I56</f>
        <v>1141.5</v>
      </c>
      <c r="J273" s="21">
        <f>J62+J89+J96+J105+J115+J124+J150+J204+J245+J47+J256+J56</f>
        <v>2545.14</v>
      </c>
      <c r="K273" s="52">
        <f>K62+K89+K96+K105+K115+K124+K150+K204+K245+K47+K256+K56</f>
        <v>0</v>
      </c>
      <c r="L273" s="282"/>
      <c r="M273" s="279"/>
      <c r="N273" s="280"/>
    </row>
    <row r="274" spans="1:14" ht="32.25" customHeight="1">
      <c r="A274" s="275"/>
      <c r="B274" s="276"/>
      <c r="C274" s="276"/>
      <c r="D274" s="283">
        <v>2021</v>
      </c>
      <c r="E274" s="52">
        <f>E48+E57+E63+E90+E97+E106+E116+E125+E158+E212+E246+E253</f>
        <v>8586.49955</v>
      </c>
      <c r="F274" s="52">
        <f>F48+F57+F63+F90+F97+F106+F116+F125+F158+F212+F246+F253</f>
        <v>0</v>
      </c>
      <c r="G274" s="52">
        <f>G48+G57+G63+G90+G97+G106+G116+G125+G158+G212+G246+G253</f>
        <v>7067.9</v>
      </c>
      <c r="H274" s="52">
        <f>H48+H57+H63+H90+H97+H106+H116+H125+H158+H212+H246+H253</f>
        <v>6570.9</v>
      </c>
      <c r="I274" s="52">
        <f>I48+I57+I63+I90+I97+I106+I116+I125+I158+I212+I246+I253</f>
        <v>497</v>
      </c>
      <c r="J274" s="21">
        <f>J48+J57+J63+J90+J97+J106+J116+J125+J158+J212+J246+J253</f>
        <v>1518.59955</v>
      </c>
      <c r="K274" s="52">
        <f>K48+K57+K63+K90+K97+K106+K116+K125+K158+K212+K246+K265+K253+K81+K72</f>
        <v>0</v>
      </c>
      <c r="L274" s="282"/>
      <c r="M274" s="279"/>
      <c r="N274" s="280"/>
    </row>
    <row r="275" spans="1:14" ht="29.25" customHeight="1">
      <c r="A275" s="275"/>
      <c r="B275" s="276"/>
      <c r="C275" s="276"/>
      <c r="D275" s="283">
        <v>2022</v>
      </c>
      <c r="E275" s="52">
        <f>E49+E64+E91+E167+E220+E247+E253+E267</f>
        <v>2358.33172</v>
      </c>
      <c r="F275" s="52">
        <f>F49+F64+F91+F107+F167+F220+F247+F253+F267</f>
        <v>0</v>
      </c>
      <c r="G275" s="52">
        <f>G49+G64+G91+G107+G167+G220+G247+G253+G267</f>
        <v>1117.6</v>
      </c>
      <c r="H275" s="52">
        <f>H49+H64+H91+H107+H167+H220+H247+H253+H267</f>
        <v>713</v>
      </c>
      <c r="I275" s="52">
        <f>I49+I64+I91+I107+I167+I220+I247+I253+I267</f>
        <v>404.6</v>
      </c>
      <c r="J275" s="52">
        <f>J49+J64+J91+J167+J220+J247+J253+J267</f>
        <v>1240.73172</v>
      </c>
      <c r="K275" s="52">
        <f>K49+K64+K91+K98+K107+K117+K167+K220+K247+K82</f>
        <v>0</v>
      </c>
      <c r="L275" s="282"/>
      <c r="M275" s="279"/>
      <c r="N275" s="280"/>
    </row>
    <row r="276" spans="1:14" ht="29.25" customHeight="1">
      <c r="A276" s="275"/>
      <c r="B276" s="276"/>
      <c r="C276" s="276"/>
      <c r="D276" s="284">
        <v>2023</v>
      </c>
      <c r="E276" s="70">
        <f>E24+E31+E34+E65+E175+E228+E248+E268+E50+E269</f>
        <v>962.52262</v>
      </c>
      <c r="F276" s="70">
        <f>F24+F31+F34+F65+F175+F228+F248+F268+F50+F269</f>
        <v>0</v>
      </c>
      <c r="G276" s="70">
        <f>G24+G31+G34+G65+G175+G228+G248+G268+G50+G269</f>
        <v>138.89999999999998</v>
      </c>
      <c r="H276" s="70">
        <f>H24+H31+H34+H65+H175+H228+H248+H268+H50+H269</f>
        <v>87.1</v>
      </c>
      <c r="I276" s="70">
        <f>I24+I31+I34+I65+I175+I228+I248+I268+I50+I269</f>
        <v>51.8</v>
      </c>
      <c r="J276" s="70">
        <f>J24+J31+J34+J65+J175+J228+J248+J268+J50+J269</f>
        <v>823.62262</v>
      </c>
      <c r="K276" s="70">
        <f>K24+K31+K34+K65+K175+K228+K248+K268</f>
        <v>0</v>
      </c>
      <c r="L276" s="285"/>
      <c r="M276" s="279"/>
      <c r="N276" s="280"/>
    </row>
    <row r="277" spans="1:14" ht="29.25" customHeight="1">
      <c r="A277" s="275"/>
      <c r="B277" s="276"/>
      <c r="C277" s="276"/>
      <c r="D277" s="284">
        <v>2024</v>
      </c>
      <c r="E277" s="70">
        <f>E66+E182+E235</f>
        <v>662.84</v>
      </c>
      <c r="F277" s="70">
        <f>F66+F182+F235</f>
        <v>0</v>
      </c>
      <c r="G277" s="70">
        <f>G66+G182+G235</f>
        <v>0</v>
      </c>
      <c r="H277" s="70">
        <f>H66+H182+H235</f>
        <v>0</v>
      </c>
      <c r="I277" s="70">
        <f>I66+I182+I235</f>
        <v>0</v>
      </c>
      <c r="J277" s="265">
        <f>J66+J182+J235</f>
        <v>662.84</v>
      </c>
      <c r="K277" s="70">
        <f>K66+K182+K235</f>
        <v>0</v>
      </c>
      <c r="L277" s="285"/>
      <c r="M277" s="279"/>
      <c r="N277" s="280"/>
    </row>
    <row r="278" spans="1:14" ht="29.25" customHeight="1">
      <c r="A278" s="275"/>
      <c r="B278" s="276"/>
      <c r="C278" s="276"/>
      <c r="D278" s="286">
        <v>2025</v>
      </c>
      <c r="E278" s="70">
        <f>E67+E189+E238</f>
        <v>662.84</v>
      </c>
      <c r="F278" s="70">
        <f>F67+F189+F238</f>
        <v>0</v>
      </c>
      <c r="G278" s="70">
        <f>G67+G189+G238</f>
        <v>0</v>
      </c>
      <c r="H278" s="70">
        <f>H67+H189+H238</f>
        <v>0</v>
      </c>
      <c r="I278" s="70">
        <f>I67+I189+I238</f>
        <v>0</v>
      </c>
      <c r="J278" s="265">
        <f>J67+J189+J238</f>
        <v>662.84</v>
      </c>
      <c r="K278" s="70">
        <f>K67+K189+K238</f>
        <v>0</v>
      </c>
      <c r="L278" s="70">
        <f>L67+L189+L238</f>
        <v>0</v>
      </c>
      <c r="M278" s="279"/>
      <c r="N278" s="280"/>
    </row>
    <row r="279" spans="1:14" ht="29.25" customHeight="1">
      <c r="A279" s="287" t="s">
        <v>142</v>
      </c>
      <c r="B279" s="287"/>
      <c r="C279" s="287"/>
      <c r="D279" s="287"/>
      <c r="E279" s="287"/>
      <c r="F279" s="287"/>
      <c r="G279" s="287"/>
      <c r="H279" s="287"/>
      <c r="I279" s="287"/>
      <c r="J279" s="287"/>
      <c r="K279" s="287"/>
      <c r="L279" s="287"/>
      <c r="M279" s="287"/>
      <c r="N279" s="28"/>
    </row>
    <row r="280" spans="1:14" ht="43.5" customHeight="1">
      <c r="A280" s="288" t="s">
        <v>143</v>
      </c>
      <c r="B280" s="288"/>
      <c r="C280" s="288"/>
      <c r="D280" s="288"/>
      <c r="E280" s="288"/>
      <c r="F280" s="288"/>
      <c r="G280" s="288"/>
      <c r="H280" s="288"/>
      <c r="I280" s="288"/>
      <c r="J280" s="288"/>
      <c r="K280" s="288"/>
      <c r="L280" s="288"/>
      <c r="M280" s="288"/>
      <c r="N280" s="289"/>
    </row>
    <row r="281" spans="1:19" ht="114.75" customHeight="1">
      <c r="A281" s="288" t="s">
        <v>144</v>
      </c>
      <c r="B281" s="288"/>
      <c r="C281" s="288"/>
      <c r="D281" s="288"/>
      <c r="E281" s="288"/>
      <c r="F281" s="288"/>
      <c r="G281" s="288"/>
      <c r="H281" s="288"/>
      <c r="I281" s="288"/>
      <c r="J281" s="288"/>
      <c r="K281" s="288"/>
      <c r="L281" s="288"/>
      <c r="M281" s="288"/>
      <c r="N281" s="289"/>
      <c r="S281" s="290"/>
    </row>
    <row r="282" spans="1:14" ht="27" customHeight="1">
      <c r="A282" s="288" t="s">
        <v>145</v>
      </c>
      <c r="B282" s="288"/>
      <c r="C282" s="288"/>
      <c r="D282" s="288"/>
      <c r="E282" s="288"/>
      <c r="F282" s="288"/>
      <c r="G282" s="288"/>
      <c r="H282" s="288"/>
      <c r="I282" s="288"/>
      <c r="J282" s="288"/>
      <c r="K282" s="288"/>
      <c r="L282" s="288"/>
      <c r="M282" s="288"/>
      <c r="N282" s="289"/>
    </row>
    <row r="283" spans="1:14" ht="37.5" customHeight="1">
      <c r="A283" s="108" t="s">
        <v>146</v>
      </c>
      <c r="B283" s="148" t="s">
        <v>147</v>
      </c>
      <c r="C283" s="291" t="s">
        <v>148</v>
      </c>
      <c r="D283" s="18">
        <v>2017</v>
      </c>
      <c r="E283" s="109">
        <f aca="true" t="shared" si="51" ref="E283:E285">F283+G283+J283+K283</f>
        <v>15500.856</v>
      </c>
      <c r="F283" s="146"/>
      <c r="G283" s="109">
        <f aca="true" t="shared" si="52" ref="G283:G300">H283+I283</f>
        <v>0</v>
      </c>
      <c r="H283" s="109"/>
      <c r="I283" s="109"/>
      <c r="J283" s="21">
        <f>J467+J468+J469+J470+J471+J473</f>
        <v>15500.856</v>
      </c>
      <c r="K283" s="146">
        <v>0</v>
      </c>
      <c r="L283" s="292" t="s">
        <v>149</v>
      </c>
      <c r="M283" s="112" t="s">
        <v>150</v>
      </c>
      <c r="N283" s="113"/>
    </row>
    <row r="284" spans="1:14" ht="37.5" customHeight="1">
      <c r="A284" s="108"/>
      <c r="B284" s="148"/>
      <c r="C284" s="112" t="s">
        <v>151</v>
      </c>
      <c r="D284" s="293"/>
      <c r="E284" s="109">
        <f t="shared" si="51"/>
        <v>10933.428</v>
      </c>
      <c r="F284" s="146"/>
      <c r="G284" s="109">
        <f t="shared" si="52"/>
        <v>0</v>
      </c>
      <c r="H284" s="109"/>
      <c r="I284" s="109"/>
      <c r="J284" s="21">
        <f>J472</f>
        <v>10933.428</v>
      </c>
      <c r="K284" s="146">
        <v>0</v>
      </c>
      <c r="L284" s="292" t="s">
        <v>152</v>
      </c>
      <c r="M284" s="112"/>
      <c r="N284" s="113"/>
    </row>
    <row r="285" spans="1:14" ht="31.5" customHeight="1">
      <c r="A285" s="108"/>
      <c r="B285" s="148"/>
      <c r="C285" s="291" t="s">
        <v>148</v>
      </c>
      <c r="D285" s="18">
        <v>2018</v>
      </c>
      <c r="E285" s="109">
        <f t="shared" si="51"/>
        <v>28543.359</v>
      </c>
      <c r="F285" s="109"/>
      <c r="G285" s="109">
        <f t="shared" si="52"/>
        <v>0</v>
      </c>
      <c r="H285" s="109">
        <v>0</v>
      </c>
      <c r="I285" s="109">
        <v>0</v>
      </c>
      <c r="J285" s="21">
        <f>SUM(J286:J299)</f>
        <v>28543.359</v>
      </c>
      <c r="K285" s="109">
        <v>0</v>
      </c>
      <c r="L285" s="292"/>
      <c r="M285" s="112"/>
      <c r="N285" s="113"/>
    </row>
    <row r="286" spans="1:14" ht="36" customHeight="1">
      <c r="A286" s="108"/>
      <c r="B286" s="148"/>
      <c r="C286" s="259" t="s">
        <v>97</v>
      </c>
      <c r="D286" s="18"/>
      <c r="E286" s="109"/>
      <c r="F286" s="146"/>
      <c r="G286" s="146">
        <f t="shared" si="52"/>
        <v>0</v>
      </c>
      <c r="H286" s="146"/>
      <c r="I286" s="146"/>
      <c r="J286" s="21">
        <f>105.997+1553.242+30.82212-90.152</f>
        <v>1599.90912</v>
      </c>
      <c r="K286" s="146">
        <v>0</v>
      </c>
      <c r="L286" s="292" t="s">
        <v>152</v>
      </c>
      <c r="M286" s="112"/>
      <c r="N286" s="113"/>
    </row>
    <row r="287" spans="1:14" ht="39.75" customHeight="1">
      <c r="A287" s="108"/>
      <c r="B287" s="148"/>
      <c r="C287" s="259" t="s">
        <v>98</v>
      </c>
      <c r="D287" s="18"/>
      <c r="E287" s="109"/>
      <c r="F287" s="146"/>
      <c r="G287" s="146">
        <f t="shared" si="52"/>
        <v>0</v>
      </c>
      <c r="H287" s="146"/>
      <c r="I287" s="146"/>
      <c r="J287" s="21">
        <f>2647.00046-137.31778-3.0355</f>
        <v>2506.6471800000004</v>
      </c>
      <c r="K287" s="146">
        <v>0</v>
      </c>
      <c r="L287" s="292"/>
      <c r="M287" s="112"/>
      <c r="N287" s="113"/>
    </row>
    <row r="288" spans="1:14" ht="39.75" customHeight="1">
      <c r="A288" s="108"/>
      <c r="B288" s="148"/>
      <c r="C288" s="259" t="s">
        <v>98</v>
      </c>
      <c r="D288" s="18"/>
      <c r="E288" s="109"/>
      <c r="F288" s="146"/>
      <c r="G288" s="146">
        <f t="shared" si="52"/>
        <v>0</v>
      </c>
      <c r="H288" s="146"/>
      <c r="I288" s="146"/>
      <c r="J288" s="21">
        <f>19000-4993.27603+73.22078+64.097-230.15863</f>
        <v>13913.883119999999</v>
      </c>
      <c r="K288" s="146">
        <v>0</v>
      </c>
      <c r="L288" s="292"/>
      <c r="M288" s="112"/>
      <c r="N288" s="113"/>
    </row>
    <row r="289" spans="1:14" ht="36" customHeight="1">
      <c r="A289" s="108"/>
      <c r="B289" s="148"/>
      <c r="C289" s="259" t="s">
        <v>99</v>
      </c>
      <c r="D289" s="18"/>
      <c r="E289" s="109"/>
      <c r="F289" s="146"/>
      <c r="G289" s="146">
        <f t="shared" si="52"/>
        <v>0</v>
      </c>
      <c r="H289" s="146"/>
      <c r="I289" s="146"/>
      <c r="J289" s="21">
        <f>620.082-142.882</f>
        <v>477.2</v>
      </c>
      <c r="K289" s="146">
        <v>0</v>
      </c>
      <c r="L289" s="292"/>
      <c r="M289" s="112"/>
      <c r="N289" s="113"/>
    </row>
    <row r="290" spans="1:14" ht="24.75" customHeight="1">
      <c r="A290" s="108"/>
      <c r="B290" s="148"/>
      <c r="C290" s="49" t="s">
        <v>26</v>
      </c>
      <c r="D290" s="18"/>
      <c r="E290" s="109"/>
      <c r="F290" s="146"/>
      <c r="G290" s="146">
        <f t="shared" si="52"/>
        <v>0</v>
      </c>
      <c r="H290" s="146"/>
      <c r="I290" s="146"/>
      <c r="J290" s="21">
        <f>4446.112-526.952+1537.10326-314.81263</f>
        <v>5141.450629999999</v>
      </c>
      <c r="K290" s="146">
        <v>0</v>
      </c>
      <c r="L290" s="292"/>
      <c r="M290" s="112"/>
      <c r="N290" s="113"/>
    </row>
    <row r="291" spans="1:14" ht="24.75" customHeight="1">
      <c r="A291" s="108"/>
      <c r="B291" s="148"/>
      <c r="C291" s="49" t="s">
        <v>27</v>
      </c>
      <c r="D291" s="18"/>
      <c r="E291" s="109"/>
      <c r="F291" s="146"/>
      <c r="G291" s="146">
        <f t="shared" si="52"/>
        <v>0</v>
      </c>
      <c r="H291" s="146"/>
      <c r="I291" s="146"/>
      <c r="J291" s="21">
        <f>115.226+847.899+0.168</f>
        <v>963.293</v>
      </c>
      <c r="K291" s="146">
        <v>0</v>
      </c>
      <c r="L291" s="292"/>
      <c r="M291" s="112"/>
      <c r="N291" s="113"/>
    </row>
    <row r="292" spans="1:14" ht="37.5" customHeight="1">
      <c r="A292" s="108"/>
      <c r="B292" s="148"/>
      <c r="C292" s="294" t="s">
        <v>153</v>
      </c>
      <c r="D292" s="18"/>
      <c r="E292" s="109"/>
      <c r="F292" s="146"/>
      <c r="G292" s="146">
        <f t="shared" si="52"/>
        <v>0</v>
      </c>
      <c r="H292" s="146"/>
      <c r="I292" s="146"/>
      <c r="J292" s="21">
        <f>357.7+36.69771</f>
        <v>394.39770999999996</v>
      </c>
      <c r="K292" s="146">
        <v>0</v>
      </c>
      <c r="L292" s="56" t="s">
        <v>97</v>
      </c>
      <c r="M292" s="112"/>
      <c r="N292" s="113"/>
    </row>
    <row r="293" spans="1:14" ht="38.25" customHeight="1">
      <c r="A293" s="108"/>
      <c r="B293" s="148"/>
      <c r="C293" s="294" t="s">
        <v>154</v>
      </c>
      <c r="D293" s="18"/>
      <c r="E293" s="109"/>
      <c r="F293" s="146"/>
      <c r="G293" s="146">
        <f t="shared" si="52"/>
        <v>0</v>
      </c>
      <c r="H293" s="146"/>
      <c r="I293" s="146"/>
      <c r="J293" s="21">
        <f>105.779+362.898-106.319</f>
        <v>362.358</v>
      </c>
      <c r="K293" s="146">
        <v>0</v>
      </c>
      <c r="L293" s="56" t="s">
        <v>98</v>
      </c>
      <c r="M293" s="112"/>
      <c r="N293" s="113"/>
    </row>
    <row r="294" spans="1:14" ht="33.75" customHeight="1">
      <c r="A294" s="108"/>
      <c r="B294" s="148"/>
      <c r="C294" s="294" t="s">
        <v>155</v>
      </c>
      <c r="D294" s="18"/>
      <c r="E294" s="109"/>
      <c r="F294" s="146"/>
      <c r="G294" s="146">
        <f t="shared" si="52"/>
        <v>0</v>
      </c>
      <c r="H294" s="146"/>
      <c r="I294" s="146"/>
      <c r="J294" s="21">
        <v>0</v>
      </c>
      <c r="K294" s="146">
        <v>0</v>
      </c>
      <c r="L294" s="292"/>
      <c r="M294" s="112"/>
      <c r="N294" s="113"/>
    </row>
    <row r="295" spans="1:14" ht="24.75" customHeight="1">
      <c r="A295" s="108"/>
      <c r="B295" s="148"/>
      <c r="C295" s="49" t="s">
        <v>26</v>
      </c>
      <c r="D295" s="18"/>
      <c r="E295" s="109"/>
      <c r="F295" s="146"/>
      <c r="G295" s="146">
        <f t="shared" si="52"/>
        <v>0</v>
      </c>
      <c r="H295" s="146"/>
      <c r="I295" s="146"/>
      <c r="J295" s="21">
        <f>196.448+30+275.818-26.184</f>
        <v>476.08199999999994</v>
      </c>
      <c r="K295" s="146">
        <v>0</v>
      </c>
      <c r="L295" s="48" t="s">
        <v>26</v>
      </c>
      <c r="M295" s="112"/>
      <c r="N295" s="113"/>
    </row>
    <row r="296" spans="1:14" ht="24.75" customHeight="1">
      <c r="A296" s="108"/>
      <c r="B296" s="148"/>
      <c r="C296" s="49" t="s">
        <v>27</v>
      </c>
      <c r="D296" s="18"/>
      <c r="E296" s="109"/>
      <c r="F296" s="146"/>
      <c r="G296" s="146">
        <f t="shared" si="52"/>
        <v>0</v>
      </c>
      <c r="H296" s="146"/>
      <c r="I296" s="146"/>
      <c r="J296" s="21">
        <f>624.103+100+900+26.6</f>
        <v>1650.703</v>
      </c>
      <c r="K296" s="146">
        <v>0</v>
      </c>
      <c r="L296" s="48" t="s">
        <v>27</v>
      </c>
      <c r="M296" s="112"/>
      <c r="N296" s="113"/>
    </row>
    <row r="297" spans="1:14" ht="24.75" customHeight="1">
      <c r="A297" s="108"/>
      <c r="B297" s="148"/>
      <c r="C297" s="291"/>
      <c r="D297" s="18"/>
      <c r="E297" s="109"/>
      <c r="F297" s="146"/>
      <c r="G297" s="146">
        <f t="shared" si="52"/>
        <v>0</v>
      </c>
      <c r="H297" s="146"/>
      <c r="I297" s="146"/>
      <c r="J297" s="21">
        <v>0</v>
      </c>
      <c r="K297" s="146">
        <v>0</v>
      </c>
      <c r="L297" s="292" t="s">
        <v>152</v>
      </c>
      <c r="M297" s="112"/>
      <c r="N297" s="113"/>
    </row>
    <row r="298" spans="1:14" ht="51.75" customHeight="1">
      <c r="A298" s="108"/>
      <c r="B298" s="148"/>
      <c r="C298" s="261" t="s">
        <v>102</v>
      </c>
      <c r="D298" s="18"/>
      <c r="E298" s="109"/>
      <c r="F298" s="146"/>
      <c r="G298" s="146">
        <f t="shared" si="52"/>
        <v>0</v>
      </c>
      <c r="H298" s="146"/>
      <c r="I298" s="146"/>
      <c r="J298" s="21">
        <f>491.117-443.682+838.97984-0.0006</f>
        <v>886.41424</v>
      </c>
      <c r="K298" s="146">
        <v>0</v>
      </c>
      <c r="L298" s="292" t="s">
        <v>152</v>
      </c>
      <c r="M298" s="112"/>
      <c r="N298" s="113"/>
    </row>
    <row r="299" spans="1:14" ht="46.5" customHeight="1">
      <c r="A299" s="108"/>
      <c r="B299" s="148"/>
      <c r="C299" s="261" t="s">
        <v>102</v>
      </c>
      <c r="D299" s="18"/>
      <c r="E299" s="109"/>
      <c r="F299" s="146"/>
      <c r="G299" s="146">
        <f t="shared" si="52"/>
        <v>0</v>
      </c>
      <c r="H299" s="146"/>
      <c r="I299" s="146"/>
      <c r="J299" s="85">
        <f>147.021+24</f>
        <v>171.021</v>
      </c>
      <c r="K299" s="146">
        <v>0</v>
      </c>
      <c r="L299" s="168" t="s">
        <v>102</v>
      </c>
      <c r="M299" s="112"/>
      <c r="N299" s="113"/>
    </row>
    <row r="300" spans="1:14" ht="24.75" customHeight="1">
      <c r="A300" s="108"/>
      <c r="B300" s="148"/>
      <c r="C300" s="295"/>
      <c r="D300" s="262"/>
      <c r="E300" s="296"/>
      <c r="F300" s="297"/>
      <c r="G300" s="297">
        <f t="shared" si="52"/>
        <v>0</v>
      </c>
      <c r="H300" s="297"/>
      <c r="I300" s="297"/>
      <c r="J300" s="298">
        <v>0</v>
      </c>
      <c r="K300" s="297">
        <v>0</v>
      </c>
      <c r="L300" s="292"/>
      <c r="M300" s="112"/>
      <c r="N300" s="113"/>
    </row>
    <row r="301" spans="1:14" ht="24.75" customHeight="1">
      <c r="A301" s="108"/>
      <c r="B301" s="148"/>
      <c r="C301" s="299"/>
      <c r="D301" s="300">
        <v>2019</v>
      </c>
      <c r="E301" s="301">
        <f aca="true" t="shared" si="53" ref="E301:E315">F301+G301+J301+K301</f>
        <v>25876.256050000004</v>
      </c>
      <c r="F301" s="301">
        <f>SUM(F302:F315)</f>
        <v>0</v>
      </c>
      <c r="G301" s="301">
        <f>SUM(G302:G315)</f>
        <v>0</v>
      </c>
      <c r="H301" s="301">
        <f>SUM(H302:H315)</f>
        <v>0</v>
      </c>
      <c r="I301" s="301">
        <f>SUM(I302:I315)</f>
        <v>0</v>
      </c>
      <c r="J301" s="219">
        <f>SUM(J302:J315)</f>
        <v>25876.256050000004</v>
      </c>
      <c r="K301" s="302">
        <f>SUM(K302:K315)</f>
        <v>0</v>
      </c>
      <c r="L301" s="303" t="s">
        <v>152</v>
      </c>
      <c r="M301" s="112"/>
      <c r="N301" s="113"/>
    </row>
    <row r="302" spans="1:14" ht="38.25" customHeight="1">
      <c r="A302" s="108"/>
      <c r="B302" s="148"/>
      <c r="C302" s="294" t="s">
        <v>153</v>
      </c>
      <c r="D302" s="128"/>
      <c r="E302" s="304">
        <f t="shared" si="53"/>
        <v>1159.92432</v>
      </c>
      <c r="F302" s="304"/>
      <c r="G302" s="304">
        <f aca="true" t="shared" si="54" ref="G302:G315">H302+I302</f>
        <v>0</v>
      </c>
      <c r="H302" s="304"/>
      <c r="I302" s="305"/>
      <c r="J302" s="62">
        <f>1350-190.07568</f>
        <v>1159.92432</v>
      </c>
      <c r="K302" s="304">
        <v>0</v>
      </c>
      <c r="L302" s="292" t="s">
        <v>152</v>
      </c>
      <c r="M302" s="112"/>
      <c r="N302" s="113"/>
    </row>
    <row r="303" spans="1:14" ht="39.75" customHeight="1">
      <c r="A303" s="108"/>
      <c r="B303" s="148"/>
      <c r="C303" s="294" t="s">
        <v>154</v>
      </c>
      <c r="D303" s="18"/>
      <c r="E303" s="146">
        <f t="shared" si="53"/>
        <v>17673.222</v>
      </c>
      <c r="F303" s="146"/>
      <c r="G303" s="146">
        <f t="shared" si="54"/>
        <v>0</v>
      </c>
      <c r="H303" s="146"/>
      <c r="I303" s="109"/>
      <c r="J303" s="21">
        <f>17794.4248-121.2028</f>
        <v>17673.222</v>
      </c>
      <c r="K303" s="146"/>
      <c r="L303" s="292" t="s">
        <v>152</v>
      </c>
      <c r="M303" s="112"/>
      <c r="N303" s="113"/>
    </row>
    <row r="304" spans="1:14" ht="33" customHeight="1">
      <c r="A304" s="108"/>
      <c r="B304" s="148"/>
      <c r="C304" s="294" t="s">
        <v>155</v>
      </c>
      <c r="D304" s="18"/>
      <c r="E304" s="146">
        <f t="shared" si="53"/>
        <v>0</v>
      </c>
      <c r="F304" s="146"/>
      <c r="G304" s="146">
        <f t="shared" si="54"/>
        <v>0</v>
      </c>
      <c r="H304" s="146"/>
      <c r="I304" s="109"/>
      <c r="J304" s="21">
        <f>500-159.431-340.569</f>
        <v>0</v>
      </c>
      <c r="K304" s="146"/>
      <c r="L304" s="292" t="s">
        <v>152</v>
      </c>
      <c r="M304" s="112"/>
      <c r="N304" s="113"/>
    </row>
    <row r="305" spans="1:14" ht="24.75" customHeight="1">
      <c r="A305" s="108"/>
      <c r="B305" s="148"/>
      <c r="C305" s="49" t="s">
        <v>26</v>
      </c>
      <c r="D305" s="18"/>
      <c r="E305" s="146">
        <f t="shared" si="53"/>
        <v>2109.1145</v>
      </c>
      <c r="F305" s="146"/>
      <c r="G305" s="146">
        <f t="shared" si="54"/>
        <v>0</v>
      </c>
      <c r="H305" s="146"/>
      <c r="I305" s="146">
        <v>0</v>
      </c>
      <c r="J305" s="21">
        <f>1797.73863+313.37887-2.003</f>
        <v>2109.1145</v>
      </c>
      <c r="K305" s="146"/>
      <c r="L305" s="292" t="s">
        <v>152</v>
      </c>
      <c r="M305" s="112"/>
      <c r="N305" s="113"/>
    </row>
    <row r="306" spans="1:14" ht="24.75" customHeight="1">
      <c r="A306" s="108"/>
      <c r="B306" s="148"/>
      <c r="C306" s="49" t="s">
        <v>26</v>
      </c>
      <c r="D306" s="18"/>
      <c r="E306" s="146">
        <f t="shared" si="53"/>
        <v>0</v>
      </c>
      <c r="F306" s="146"/>
      <c r="G306" s="146">
        <f t="shared" si="54"/>
        <v>0</v>
      </c>
      <c r="H306" s="146"/>
      <c r="I306" s="146"/>
      <c r="J306" s="21">
        <v>0</v>
      </c>
      <c r="K306" s="146"/>
      <c r="L306" s="292" t="s">
        <v>156</v>
      </c>
      <c r="M306" s="112"/>
      <c r="N306" s="113"/>
    </row>
    <row r="307" spans="1:14" ht="24.75" customHeight="1">
      <c r="A307" s="108"/>
      <c r="B307" s="148"/>
      <c r="C307" s="49" t="s">
        <v>27</v>
      </c>
      <c r="D307" s="18"/>
      <c r="E307" s="146">
        <f t="shared" si="53"/>
        <v>1830.5851200000002</v>
      </c>
      <c r="F307" s="146"/>
      <c r="G307" s="146">
        <f t="shared" si="54"/>
        <v>0</v>
      </c>
      <c r="H307" s="146"/>
      <c r="I307" s="109"/>
      <c r="J307" s="21">
        <f>1841.35064-10.76552</f>
        <v>1830.5851200000002</v>
      </c>
      <c r="K307" s="146"/>
      <c r="L307" s="292" t="s">
        <v>152</v>
      </c>
      <c r="M307" s="112"/>
      <c r="N307" s="113"/>
    </row>
    <row r="308" spans="1:14" ht="42" customHeight="1">
      <c r="A308" s="108"/>
      <c r="B308" s="148"/>
      <c r="C308" s="291" t="s">
        <v>157</v>
      </c>
      <c r="D308" s="18"/>
      <c r="E308" s="146">
        <f t="shared" si="53"/>
        <v>0</v>
      </c>
      <c r="F308" s="146"/>
      <c r="G308" s="146">
        <f t="shared" si="54"/>
        <v>0</v>
      </c>
      <c r="H308" s="146"/>
      <c r="I308" s="109"/>
      <c r="J308" s="21">
        <v>0</v>
      </c>
      <c r="K308" s="146"/>
      <c r="L308" s="292" t="s">
        <v>152</v>
      </c>
      <c r="M308" s="112"/>
      <c r="N308" s="113"/>
    </row>
    <row r="309" spans="1:14" ht="37.5" customHeight="1">
      <c r="A309" s="108"/>
      <c r="B309" s="148"/>
      <c r="C309" s="294" t="s">
        <v>153</v>
      </c>
      <c r="D309" s="18"/>
      <c r="E309" s="146">
        <f t="shared" si="53"/>
        <v>200</v>
      </c>
      <c r="F309" s="146"/>
      <c r="G309" s="146">
        <f t="shared" si="54"/>
        <v>0</v>
      </c>
      <c r="H309" s="146"/>
      <c r="I309" s="109"/>
      <c r="J309" s="21">
        <v>200</v>
      </c>
      <c r="K309" s="146"/>
      <c r="L309" s="111" t="s">
        <v>153</v>
      </c>
      <c r="M309" s="112"/>
      <c r="N309" s="113"/>
    </row>
    <row r="310" spans="1:14" ht="35.25" customHeight="1">
      <c r="A310" s="108"/>
      <c r="B310" s="148"/>
      <c r="C310" s="294" t="s">
        <v>154</v>
      </c>
      <c r="D310" s="18"/>
      <c r="E310" s="146">
        <f t="shared" si="53"/>
        <v>262.6042</v>
      </c>
      <c r="F310" s="146"/>
      <c r="G310" s="146">
        <f t="shared" si="54"/>
        <v>0</v>
      </c>
      <c r="H310" s="146"/>
      <c r="I310" s="109"/>
      <c r="J310" s="21">
        <f>340.773-78.1688</f>
        <v>262.6042</v>
      </c>
      <c r="K310" s="146"/>
      <c r="L310" s="111" t="s">
        <v>154</v>
      </c>
      <c r="M310" s="112"/>
      <c r="N310" s="113"/>
    </row>
    <row r="311" spans="1:14" ht="38.25" customHeight="1">
      <c r="A311" s="108"/>
      <c r="B311" s="148"/>
      <c r="C311" s="294" t="s">
        <v>155</v>
      </c>
      <c r="D311" s="18"/>
      <c r="E311" s="146">
        <f t="shared" si="53"/>
        <v>277.714</v>
      </c>
      <c r="F311" s="146"/>
      <c r="G311" s="146">
        <f t="shared" si="54"/>
        <v>0</v>
      </c>
      <c r="H311" s="146"/>
      <c r="I311" s="109"/>
      <c r="J311" s="21">
        <f>159.431+118.283</f>
        <v>277.714</v>
      </c>
      <c r="K311" s="146"/>
      <c r="L311" s="111" t="s">
        <v>155</v>
      </c>
      <c r="M311" s="112"/>
      <c r="N311" s="113"/>
    </row>
    <row r="312" spans="1:14" ht="24.75" customHeight="1">
      <c r="A312" s="108"/>
      <c r="B312" s="148"/>
      <c r="C312" s="49" t="s">
        <v>26</v>
      </c>
      <c r="D312" s="18"/>
      <c r="E312" s="146">
        <f t="shared" si="53"/>
        <v>1940.84825</v>
      </c>
      <c r="F312" s="146"/>
      <c r="G312" s="146">
        <f t="shared" si="54"/>
        <v>0</v>
      </c>
      <c r="H312" s="146"/>
      <c r="I312" s="109"/>
      <c r="J312" s="21">
        <f>2430.61771-489.76946</f>
        <v>1940.84825</v>
      </c>
      <c r="K312" s="146"/>
      <c r="L312" s="48" t="s">
        <v>26</v>
      </c>
      <c r="M312" s="112"/>
      <c r="N312" s="113"/>
    </row>
    <row r="313" spans="1:14" ht="24.75" customHeight="1">
      <c r="A313" s="108"/>
      <c r="B313" s="148"/>
      <c r="C313" s="49" t="s">
        <v>27</v>
      </c>
      <c r="D313" s="18"/>
      <c r="E313" s="146">
        <f t="shared" si="53"/>
        <v>422.24366</v>
      </c>
      <c r="F313" s="146"/>
      <c r="G313" s="146">
        <f t="shared" si="54"/>
        <v>0</v>
      </c>
      <c r="H313" s="146"/>
      <c r="I313" s="109"/>
      <c r="J313" s="21">
        <f>301.36966+120.874</f>
        <v>422.24366</v>
      </c>
      <c r="K313" s="146"/>
      <c r="L313" s="48" t="s">
        <v>27</v>
      </c>
      <c r="M313" s="112"/>
      <c r="N313" s="113"/>
    </row>
    <row r="314" spans="1:14" ht="24.75" customHeight="1">
      <c r="A314" s="108"/>
      <c r="B314" s="148"/>
      <c r="C314" s="291"/>
      <c r="D314" s="18"/>
      <c r="E314" s="146">
        <f t="shared" si="53"/>
        <v>0</v>
      </c>
      <c r="F314" s="146"/>
      <c r="G314" s="146">
        <f t="shared" si="54"/>
        <v>0</v>
      </c>
      <c r="H314" s="146"/>
      <c r="I314" s="109"/>
      <c r="J314" s="21">
        <v>0</v>
      </c>
      <c r="K314" s="146"/>
      <c r="L314" s="306"/>
      <c r="M314" s="112"/>
      <c r="N314" s="113"/>
    </row>
    <row r="315" spans="1:14" ht="24.75" customHeight="1">
      <c r="A315" s="108"/>
      <c r="B315" s="148"/>
      <c r="C315" s="291"/>
      <c r="D315" s="262"/>
      <c r="E315" s="297">
        <f t="shared" si="53"/>
        <v>0</v>
      </c>
      <c r="F315" s="297"/>
      <c r="G315" s="297">
        <f t="shared" si="54"/>
        <v>0</v>
      </c>
      <c r="H315" s="297"/>
      <c r="I315" s="296"/>
      <c r="J315" s="265">
        <v>0</v>
      </c>
      <c r="K315" s="297"/>
      <c r="L315" s="306"/>
      <c r="M315" s="112"/>
      <c r="N315" s="113"/>
    </row>
    <row r="316" spans="1:14" ht="30" customHeight="1">
      <c r="A316" s="108"/>
      <c r="B316" s="49" t="s">
        <v>147</v>
      </c>
      <c r="C316" s="307"/>
      <c r="D316" s="258">
        <v>2020</v>
      </c>
      <c r="E316" s="301">
        <f>SUM(E317:E325)</f>
        <v>16055.751890000003</v>
      </c>
      <c r="F316" s="301">
        <f>SUM(F317:F325)</f>
        <v>0</v>
      </c>
      <c r="G316" s="301">
        <f>SUM(G317:G325)</f>
        <v>0</v>
      </c>
      <c r="H316" s="301">
        <f>SUM(H317:H325)</f>
        <v>0</v>
      </c>
      <c r="I316" s="301">
        <f>SUM(I317:I325)</f>
        <v>0</v>
      </c>
      <c r="J316" s="219">
        <f>SUM(J317:J325)</f>
        <v>16055.751890000003</v>
      </c>
      <c r="K316" s="301">
        <f>SUM(K317:K324)</f>
        <v>0</v>
      </c>
      <c r="L316" s="308"/>
      <c r="M316" s="112"/>
      <c r="N316" s="113"/>
    </row>
    <row r="317" spans="1:14" ht="42.75" customHeight="1">
      <c r="A317" s="108"/>
      <c r="B317" s="49"/>
      <c r="C317" s="259" t="s">
        <v>98</v>
      </c>
      <c r="D317" s="309"/>
      <c r="E317" s="310">
        <f aca="true" t="shared" si="55" ref="E317:E325">F317+G317+J317+K317</f>
        <v>7244.213500000001</v>
      </c>
      <c r="F317" s="310"/>
      <c r="G317" s="310">
        <f aca="true" t="shared" si="56" ref="G317:G325">H317+I317</f>
        <v>0</v>
      </c>
      <c r="H317" s="310"/>
      <c r="I317" s="311"/>
      <c r="J317" s="74">
        <f>11000-3806.3995+50.613</f>
        <v>7244.213500000001</v>
      </c>
      <c r="K317" s="310"/>
      <c r="L317" s="292" t="s">
        <v>152</v>
      </c>
      <c r="M317" s="112"/>
      <c r="N317" s="113"/>
    </row>
    <row r="318" spans="1:14" ht="30" customHeight="1">
      <c r="A318" s="108"/>
      <c r="B318" s="49"/>
      <c r="C318" s="49" t="s">
        <v>26</v>
      </c>
      <c r="D318" s="18"/>
      <c r="E318" s="146">
        <f t="shared" si="55"/>
        <v>3323.71263</v>
      </c>
      <c r="F318" s="146"/>
      <c r="G318" s="146">
        <f t="shared" si="56"/>
        <v>0</v>
      </c>
      <c r="H318" s="146"/>
      <c r="I318" s="109"/>
      <c r="J318" s="21">
        <f>7142.742-3660.764-307.2291+148.96373</f>
        <v>3323.71263</v>
      </c>
      <c r="K318" s="146"/>
      <c r="L318" s="303" t="s">
        <v>158</v>
      </c>
      <c r="M318" s="112"/>
      <c r="N318" s="113"/>
    </row>
    <row r="319" spans="1:14" ht="36.75" customHeight="1">
      <c r="A319" s="108"/>
      <c r="B319" s="49"/>
      <c r="C319" s="261" t="s">
        <v>102</v>
      </c>
      <c r="D319" s="18"/>
      <c r="E319" s="146">
        <f t="shared" si="55"/>
        <v>1525.96188</v>
      </c>
      <c r="F319" s="146"/>
      <c r="G319" s="146">
        <f t="shared" si="56"/>
        <v>0</v>
      </c>
      <c r="H319" s="146"/>
      <c r="I319" s="109"/>
      <c r="J319" s="21">
        <f>2400-794.205-3.89412-75.939</f>
        <v>1525.96188</v>
      </c>
      <c r="K319" s="146"/>
      <c r="L319" s="303" t="s">
        <v>158</v>
      </c>
      <c r="M319" s="112"/>
      <c r="N319" s="113"/>
    </row>
    <row r="320" spans="1:14" ht="30" customHeight="1">
      <c r="A320" s="108"/>
      <c r="B320" s="49"/>
      <c r="C320" s="49" t="s">
        <v>27</v>
      </c>
      <c r="D320" s="262"/>
      <c r="E320" s="146">
        <f t="shared" si="55"/>
        <v>927.09288</v>
      </c>
      <c r="F320" s="297"/>
      <c r="G320" s="146">
        <f t="shared" si="56"/>
        <v>0</v>
      </c>
      <c r="H320" s="297"/>
      <c r="I320" s="296"/>
      <c r="J320" s="265">
        <f>1065.624-138.53112</f>
        <v>927.09288</v>
      </c>
      <c r="K320" s="297"/>
      <c r="L320" s="292" t="s">
        <v>152</v>
      </c>
      <c r="M320" s="112"/>
      <c r="N320" s="113"/>
    </row>
    <row r="321" spans="1:14" ht="30" customHeight="1">
      <c r="A321" s="108"/>
      <c r="B321" s="49"/>
      <c r="C321" s="49" t="s">
        <v>26</v>
      </c>
      <c r="D321" s="262"/>
      <c r="E321" s="146">
        <f t="shared" si="55"/>
        <v>50.313</v>
      </c>
      <c r="F321" s="297"/>
      <c r="G321" s="146">
        <f t="shared" si="56"/>
        <v>0</v>
      </c>
      <c r="H321" s="297"/>
      <c r="I321" s="296"/>
      <c r="J321" s="265">
        <f>100-49.687</f>
        <v>50.313</v>
      </c>
      <c r="K321" s="297"/>
      <c r="L321" s="48" t="s">
        <v>26</v>
      </c>
      <c r="M321" s="112"/>
      <c r="N321" s="113"/>
    </row>
    <row r="322" spans="1:14" ht="30" customHeight="1">
      <c r="A322" s="108"/>
      <c r="B322" s="49"/>
      <c r="C322" s="49" t="s">
        <v>27</v>
      </c>
      <c r="D322" s="262"/>
      <c r="E322" s="146">
        <f t="shared" si="55"/>
        <v>2169.525</v>
      </c>
      <c r="F322" s="297"/>
      <c r="G322" s="146">
        <f t="shared" si="56"/>
        <v>0</v>
      </c>
      <c r="H322" s="297"/>
      <c r="I322" s="296"/>
      <c r="J322" s="265">
        <f>1699.525+470</f>
        <v>2169.525</v>
      </c>
      <c r="K322" s="297"/>
      <c r="L322" s="48" t="s">
        <v>27</v>
      </c>
      <c r="M322" s="112"/>
      <c r="N322" s="113"/>
    </row>
    <row r="323" spans="1:14" ht="36.75" customHeight="1">
      <c r="A323" s="108"/>
      <c r="B323" s="49"/>
      <c r="C323" s="259" t="s">
        <v>97</v>
      </c>
      <c r="D323" s="262"/>
      <c r="E323" s="146">
        <f t="shared" si="55"/>
        <v>342.134</v>
      </c>
      <c r="F323" s="297"/>
      <c r="G323" s="146">
        <f t="shared" si="56"/>
        <v>0</v>
      </c>
      <c r="H323" s="297"/>
      <c r="I323" s="296"/>
      <c r="J323" s="265">
        <v>342.134</v>
      </c>
      <c r="K323" s="297"/>
      <c r="L323" s="56" t="s">
        <v>97</v>
      </c>
      <c r="M323" s="112"/>
      <c r="N323" s="113"/>
    </row>
    <row r="324" spans="1:14" ht="34.5" customHeight="1">
      <c r="A324" s="108"/>
      <c r="B324" s="49"/>
      <c r="C324" s="259" t="s">
        <v>98</v>
      </c>
      <c r="D324" s="262"/>
      <c r="E324" s="297">
        <f t="shared" si="55"/>
        <v>48.53</v>
      </c>
      <c r="F324" s="297"/>
      <c r="G324" s="297">
        <f t="shared" si="56"/>
        <v>0</v>
      </c>
      <c r="H324" s="297"/>
      <c r="I324" s="296"/>
      <c r="J324" s="265">
        <f>66.985-18.455</f>
        <v>48.53</v>
      </c>
      <c r="K324" s="297"/>
      <c r="L324" s="56" t="s">
        <v>98</v>
      </c>
      <c r="M324" s="112"/>
      <c r="N324" s="113"/>
    </row>
    <row r="325" spans="1:14" ht="39" customHeight="1">
      <c r="A325" s="108"/>
      <c r="B325" s="49"/>
      <c r="C325" s="261" t="s">
        <v>102</v>
      </c>
      <c r="D325" s="262"/>
      <c r="E325" s="297">
        <f t="shared" si="55"/>
        <v>424.269</v>
      </c>
      <c r="F325" s="297"/>
      <c r="G325" s="297">
        <f t="shared" si="56"/>
        <v>0</v>
      </c>
      <c r="H325" s="297"/>
      <c r="I325" s="296"/>
      <c r="J325" s="265">
        <f>495.342-71.073</f>
        <v>424.269</v>
      </c>
      <c r="K325" s="297"/>
      <c r="L325" s="168" t="s">
        <v>102</v>
      </c>
      <c r="M325" s="112"/>
      <c r="N325" s="113"/>
    </row>
    <row r="326" spans="1:14" ht="41.25" customHeight="1">
      <c r="A326" s="108"/>
      <c r="B326" s="312" t="s">
        <v>147</v>
      </c>
      <c r="C326" s="291"/>
      <c r="D326" s="18">
        <v>2021</v>
      </c>
      <c r="E326" s="109">
        <f>SUM(E327:E374)</f>
        <v>14302.94293</v>
      </c>
      <c r="F326" s="109">
        <f>SUM(F327:F374)</f>
        <v>0</v>
      </c>
      <c r="G326" s="109">
        <f>SUM(G327:G374)</f>
        <v>0</v>
      </c>
      <c r="H326" s="109">
        <f>SUM(H327:H374)</f>
        <v>0</v>
      </c>
      <c r="I326" s="109">
        <f>SUM(I327:I374)</f>
        <v>0</v>
      </c>
      <c r="J326" s="21">
        <f>SUM(J327:J374)</f>
        <v>14302.94293</v>
      </c>
      <c r="K326" s="109">
        <f>SUM(K327:K374)</f>
        <v>0</v>
      </c>
      <c r="L326" s="313"/>
      <c r="M326" s="112"/>
      <c r="N326" s="113"/>
    </row>
    <row r="327" spans="1:14" ht="36" customHeight="1">
      <c r="A327" s="108"/>
      <c r="B327" s="314" t="s">
        <v>159</v>
      </c>
      <c r="C327" s="49" t="s">
        <v>97</v>
      </c>
      <c r="D327" s="18"/>
      <c r="E327" s="146">
        <f aca="true" t="shared" si="57" ref="E327:E328">F327+G327+J327+K327</f>
        <v>538.447</v>
      </c>
      <c r="F327" s="146"/>
      <c r="G327" s="146"/>
      <c r="H327" s="146"/>
      <c r="I327" s="109"/>
      <c r="J327" s="21">
        <v>538.447</v>
      </c>
      <c r="K327" s="146"/>
      <c r="L327" s="292" t="s">
        <v>152</v>
      </c>
      <c r="M327" s="112"/>
      <c r="N327" s="113"/>
    </row>
    <row r="328" spans="1:14" ht="51" customHeight="1">
      <c r="A328" s="108"/>
      <c r="B328" s="314" t="s">
        <v>160</v>
      </c>
      <c r="C328" s="49"/>
      <c r="D328" s="262"/>
      <c r="E328" s="146">
        <f t="shared" si="57"/>
        <v>0</v>
      </c>
      <c r="F328" s="297"/>
      <c r="G328" s="297"/>
      <c r="H328" s="297"/>
      <c r="I328" s="296"/>
      <c r="J328" s="265">
        <v>0</v>
      </c>
      <c r="K328" s="297"/>
      <c r="L328" s="292"/>
      <c r="M328" s="112"/>
      <c r="N328" s="113"/>
    </row>
    <row r="329" spans="1:14" ht="22.5" customHeight="1">
      <c r="A329" s="108"/>
      <c r="B329" s="314" t="s">
        <v>161</v>
      </c>
      <c r="C329" s="49"/>
      <c r="D329" s="262"/>
      <c r="E329" s="146">
        <f aca="true" t="shared" si="58" ref="E329:E330">J329+I329+H329</f>
        <v>545.791</v>
      </c>
      <c r="F329" s="297"/>
      <c r="G329" s="297"/>
      <c r="H329" s="297"/>
      <c r="I329" s="296"/>
      <c r="J329" s="265">
        <f>503.798+41.993</f>
        <v>545.791</v>
      </c>
      <c r="K329" s="297"/>
      <c r="L329" s="292" t="s">
        <v>97</v>
      </c>
      <c r="M329" s="112"/>
      <c r="N329" s="113"/>
    </row>
    <row r="330" spans="1:14" ht="36" customHeight="1">
      <c r="A330" s="108"/>
      <c r="B330" s="314" t="s">
        <v>162</v>
      </c>
      <c r="C330" s="49"/>
      <c r="D330" s="262"/>
      <c r="E330" s="146">
        <f t="shared" si="58"/>
        <v>188.901</v>
      </c>
      <c r="F330" s="297"/>
      <c r="G330" s="297"/>
      <c r="H330" s="297"/>
      <c r="I330" s="296"/>
      <c r="J330" s="265">
        <v>188.901</v>
      </c>
      <c r="K330" s="297"/>
      <c r="L330" s="292"/>
      <c r="M330" s="112"/>
      <c r="N330" s="113"/>
    </row>
    <row r="331" spans="1:14" ht="40.5" customHeight="1">
      <c r="A331" s="108"/>
      <c r="B331" s="314" t="s">
        <v>163</v>
      </c>
      <c r="C331" s="315" t="s">
        <v>98</v>
      </c>
      <c r="D331" s="262"/>
      <c r="E331" s="146">
        <f aca="true" t="shared" si="59" ref="E331:E349">F331+G331+J331+K331</f>
        <v>552.756</v>
      </c>
      <c r="F331" s="297"/>
      <c r="G331" s="297"/>
      <c r="H331" s="297"/>
      <c r="I331" s="296"/>
      <c r="J331" s="316">
        <v>552.756</v>
      </c>
      <c r="K331" s="297"/>
      <c r="L331" s="292" t="s">
        <v>152</v>
      </c>
      <c r="M331" s="112"/>
      <c r="N331" s="113"/>
    </row>
    <row r="332" spans="1:14" ht="51" customHeight="1">
      <c r="A332" s="108"/>
      <c r="B332" s="314" t="s">
        <v>164</v>
      </c>
      <c r="C332" s="315"/>
      <c r="D332" s="262"/>
      <c r="E332" s="146">
        <f t="shared" si="59"/>
        <v>0</v>
      </c>
      <c r="F332" s="297"/>
      <c r="G332" s="297"/>
      <c r="H332" s="297"/>
      <c r="I332" s="296"/>
      <c r="J332" s="316">
        <v>0</v>
      </c>
      <c r="K332" s="297"/>
      <c r="L332" s="292"/>
      <c r="M332" s="112"/>
      <c r="N332" s="113"/>
    </row>
    <row r="333" spans="1:14" ht="40.5" customHeight="1">
      <c r="A333" s="108"/>
      <c r="B333" s="314" t="s">
        <v>165</v>
      </c>
      <c r="C333" s="315"/>
      <c r="D333" s="262"/>
      <c r="E333" s="146">
        <f t="shared" si="59"/>
        <v>206.2234</v>
      </c>
      <c r="F333" s="297"/>
      <c r="G333" s="297"/>
      <c r="H333" s="297"/>
      <c r="I333" s="296"/>
      <c r="J333" s="316">
        <v>206.2234</v>
      </c>
      <c r="K333" s="297"/>
      <c r="L333" s="292"/>
      <c r="M333" s="112"/>
      <c r="N333" s="113"/>
    </row>
    <row r="334" spans="1:14" ht="29.25" customHeight="1">
      <c r="A334" s="108"/>
      <c r="B334" s="314" t="s">
        <v>166</v>
      </c>
      <c r="C334" s="315"/>
      <c r="D334" s="262"/>
      <c r="E334" s="146">
        <f t="shared" si="59"/>
        <v>67.09473</v>
      </c>
      <c r="F334" s="297"/>
      <c r="G334" s="297"/>
      <c r="H334" s="297"/>
      <c r="I334" s="296"/>
      <c r="J334" s="316">
        <v>67.09473</v>
      </c>
      <c r="K334" s="297"/>
      <c r="L334" s="292"/>
      <c r="M334" s="112"/>
      <c r="N334" s="113"/>
    </row>
    <row r="335" spans="1:14" ht="30.75" customHeight="1">
      <c r="A335" s="108"/>
      <c r="B335" s="317" t="s">
        <v>167</v>
      </c>
      <c r="C335" s="318" t="s">
        <v>98</v>
      </c>
      <c r="D335" s="262"/>
      <c r="E335" s="146">
        <f t="shared" si="59"/>
        <v>135.802</v>
      </c>
      <c r="F335" s="297"/>
      <c r="G335" s="297"/>
      <c r="H335" s="297"/>
      <c r="I335" s="296"/>
      <c r="J335" s="265">
        <v>135.802</v>
      </c>
      <c r="K335" s="297"/>
      <c r="L335" s="292" t="s">
        <v>98</v>
      </c>
      <c r="M335" s="112"/>
      <c r="N335" s="113"/>
    </row>
    <row r="336" spans="1:14" ht="30.75" customHeight="1">
      <c r="A336" s="108"/>
      <c r="B336" s="317" t="s">
        <v>168</v>
      </c>
      <c r="C336" s="318"/>
      <c r="D336" s="262"/>
      <c r="E336" s="146">
        <f t="shared" si="59"/>
        <v>274.90139000000005</v>
      </c>
      <c r="F336" s="297"/>
      <c r="G336" s="297"/>
      <c r="H336" s="297"/>
      <c r="I336" s="296"/>
      <c r="J336" s="265">
        <f>268.55799+25.074-18.73361+0.00301</f>
        <v>274.90139000000005</v>
      </c>
      <c r="K336" s="297"/>
      <c r="L336" s="292"/>
      <c r="M336" s="112"/>
      <c r="N336" s="113"/>
    </row>
    <row r="337" spans="1:14" ht="27" customHeight="1">
      <c r="A337" s="108"/>
      <c r="B337" s="317" t="s">
        <v>169</v>
      </c>
      <c r="C337" s="318"/>
      <c r="D337" s="262"/>
      <c r="E337" s="146">
        <f t="shared" si="59"/>
        <v>510.317</v>
      </c>
      <c r="F337" s="297"/>
      <c r="G337" s="297"/>
      <c r="H337" s="297"/>
      <c r="I337" s="296"/>
      <c r="J337" s="265">
        <v>510.317</v>
      </c>
      <c r="K337" s="297"/>
      <c r="L337" s="292"/>
      <c r="M337" s="112"/>
      <c r="N337" s="113"/>
    </row>
    <row r="338" spans="1:14" ht="27" customHeight="1">
      <c r="A338" s="108"/>
      <c r="B338" s="317" t="s">
        <v>170</v>
      </c>
      <c r="C338" s="318"/>
      <c r="D338" s="262"/>
      <c r="E338" s="146">
        <f t="shared" si="59"/>
        <v>4.996</v>
      </c>
      <c r="F338" s="297"/>
      <c r="G338" s="297"/>
      <c r="H338" s="297"/>
      <c r="I338" s="296"/>
      <c r="J338" s="265">
        <v>4.996</v>
      </c>
      <c r="K338" s="297"/>
      <c r="L338" s="292"/>
      <c r="M338" s="112"/>
      <c r="N338" s="113"/>
    </row>
    <row r="339" spans="1:14" ht="30" customHeight="1">
      <c r="A339" s="108"/>
      <c r="B339" s="317" t="s">
        <v>171</v>
      </c>
      <c r="C339" s="318"/>
      <c r="D339" s="262"/>
      <c r="E339" s="146">
        <f t="shared" si="59"/>
        <v>105.696</v>
      </c>
      <c r="F339" s="297"/>
      <c r="G339" s="297"/>
      <c r="H339" s="297"/>
      <c r="I339" s="296"/>
      <c r="J339" s="265">
        <f>35+70.696</f>
        <v>105.696</v>
      </c>
      <c r="K339" s="297"/>
      <c r="L339" s="292"/>
      <c r="M339" s="112"/>
      <c r="N339" s="113"/>
    </row>
    <row r="340" spans="1:14" ht="39.75" customHeight="1">
      <c r="A340" s="108"/>
      <c r="B340" s="314" t="s">
        <v>172</v>
      </c>
      <c r="C340" s="318"/>
      <c r="D340" s="262"/>
      <c r="E340" s="146">
        <f t="shared" si="59"/>
        <v>38.506</v>
      </c>
      <c r="F340" s="297"/>
      <c r="G340" s="297"/>
      <c r="H340" s="297"/>
      <c r="I340" s="296"/>
      <c r="J340" s="265">
        <v>38.506</v>
      </c>
      <c r="K340" s="297"/>
      <c r="L340" s="292"/>
      <c r="M340" s="112"/>
      <c r="N340" s="113"/>
    </row>
    <row r="341" spans="1:14" ht="39.75" customHeight="1">
      <c r="A341" s="108"/>
      <c r="B341" s="314" t="s">
        <v>173</v>
      </c>
      <c r="C341" s="318"/>
      <c r="D341" s="262"/>
      <c r="E341" s="146">
        <f t="shared" si="59"/>
        <v>276.794</v>
      </c>
      <c r="F341" s="297"/>
      <c r="G341" s="297"/>
      <c r="H341" s="297"/>
      <c r="I341" s="296"/>
      <c r="J341" s="265">
        <f>33.131+216.163+27.5</f>
        <v>276.794</v>
      </c>
      <c r="K341" s="297"/>
      <c r="L341" s="292"/>
      <c r="M341" s="112"/>
      <c r="N341" s="113"/>
    </row>
    <row r="342" spans="1:14" ht="39.75" customHeight="1">
      <c r="A342" s="108"/>
      <c r="B342" s="314" t="s">
        <v>174</v>
      </c>
      <c r="C342" s="318"/>
      <c r="D342" s="262"/>
      <c r="E342" s="146">
        <f t="shared" si="59"/>
        <v>510.317</v>
      </c>
      <c r="F342" s="297"/>
      <c r="G342" s="297"/>
      <c r="H342" s="297"/>
      <c r="I342" s="296"/>
      <c r="J342" s="265">
        <v>510.317</v>
      </c>
      <c r="K342" s="297"/>
      <c r="L342" s="292"/>
      <c r="M342" s="112"/>
      <c r="N342" s="113"/>
    </row>
    <row r="343" spans="1:14" ht="40.5" customHeight="1">
      <c r="A343" s="108"/>
      <c r="B343" s="317" t="s">
        <v>175</v>
      </c>
      <c r="C343" s="318"/>
      <c r="D343" s="262"/>
      <c r="E343" s="146">
        <f t="shared" si="59"/>
        <v>73.506</v>
      </c>
      <c r="F343" s="297"/>
      <c r="G343" s="297"/>
      <c r="H343" s="297"/>
      <c r="I343" s="296"/>
      <c r="J343" s="265">
        <v>73.506</v>
      </c>
      <c r="K343" s="297"/>
      <c r="L343" s="292"/>
      <c r="M343" s="112"/>
      <c r="N343" s="113"/>
    </row>
    <row r="344" spans="1:14" ht="34.5" customHeight="1">
      <c r="A344" s="108"/>
      <c r="B344" s="317" t="s">
        <v>176</v>
      </c>
      <c r="C344" s="318"/>
      <c r="D344" s="262"/>
      <c r="E344" s="146">
        <f t="shared" si="59"/>
        <v>20</v>
      </c>
      <c r="F344" s="297"/>
      <c r="G344" s="297"/>
      <c r="H344" s="297"/>
      <c r="I344" s="296"/>
      <c r="J344" s="265">
        <v>20</v>
      </c>
      <c r="K344" s="297"/>
      <c r="L344" s="292"/>
      <c r="M344" s="112"/>
      <c r="N344" s="113"/>
    </row>
    <row r="345" spans="1:14" ht="58.5" customHeight="1">
      <c r="A345" s="108"/>
      <c r="B345" s="317" t="s">
        <v>177</v>
      </c>
      <c r="C345" s="319"/>
      <c r="D345" s="262"/>
      <c r="E345" s="146">
        <f t="shared" si="59"/>
        <v>119.21</v>
      </c>
      <c r="F345" s="297"/>
      <c r="G345" s="297"/>
      <c r="H345" s="297"/>
      <c r="I345" s="296"/>
      <c r="J345" s="265">
        <v>119.21</v>
      </c>
      <c r="K345" s="297"/>
      <c r="L345" s="320"/>
      <c r="M345" s="112"/>
      <c r="N345" s="113"/>
    </row>
    <row r="346" spans="1:14" ht="31.5" customHeight="1">
      <c r="A346" s="108"/>
      <c r="B346" s="317" t="s">
        <v>178</v>
      </c>
      <c r="C346" s="319"/>
      <c r="D346" s="262"/>
      <c r="E346" s="146">
        <f t="shared" si="59"/>
        <v>33.131</v>
      </c>
      <c r="F346" s="297"/>
      <c r="G346" s="297"/>
      <c r="H346" s="297"/>
      <c r="I346" s="296"/>
      <c r="J346" s="265">
        <f>32.62+0.511</f>
        <v>33.131</v>
      </c>
      <c r="K346" s="297"/>
      <c r="L346" s="320"/>
      <c r="M346" s="112"/>
      <c r="N346" s="113"/>
    </row>
    <row r="347" spans="1:14" ht="31.5" customHeight="1">
      <c r="A347" s="108"/>
      <c r="B347" s="314" t="s">
        <v>179</v>
      </c>
      <c r="C347" s="49" t="s">
        <v>99</v>
      </c>
      <c r="D347" s="262"/>
      <c r="E347" s="146">
        <f t="shared" si="59"/>
        <v>176.11524</v>
      </c>
      <c r="F347" s="297"/>
      <c r="G347" s="297"/>
      <c r="H347" s="297"/>
      <c r="I347" s="296"/>
      <c r="J347" s="316">
        <v>176.11524</v>
      </c>
      <c r="K347" s="297"/>
      <c r="L347" s="48" t="s">
        <v>152</v>
      </c>
      <c r="M347" s="112"/>
      <c r="N347" s="113"/>
    </row>
    <row r="348" spans="1:18" ht="20.25" customHeight="1">
      <c r="A348" s="108"/>
      <c r="B348" s="314" t="s">
        <v>180</v>
      </c>
      <c r="C348" s="49"/>
      <c r="D348" s="262"/>
      <c r="E348" s="146">
        <f t="shared" si="59"/>
        <v>236.3839</v>
      </c>
      <c r="F348" s="297"/>
      <c r="G348" s="297"/>
      <c r="H348" s="297"/>
      <c r="I348" s="296"/>
      <c r="J348" s="316">
        <v>236.3839</v>
      </c>
      <c r="K348" s="297"/>
      <c r="L348" s="48"/>
      <c r="M348" s="112"/>
      <c r="N348" s="113"/>
      <c r="R348" s="321"/>
    </row>
    <row r="349" spans="1:14" ht="21.75" customHeight="1">
      <c r="A349" s="108"/>
      <c r="B349" s="314" t="s">
        <v>181</v>
      </c>
      <c r="C349" s="49"/>
      <c r="D349" s="262"/>
      <c r="E349" s="146">
        <f t="shared" si="59"/>
        <v>0</v>
      </c>
      <c r="F349" s="297"/>
      <c r="G349" s="297"/>
      <c r="H349" s="297"/>
      <c r="I349" s="296"/>
      <c r="J349" s="316">
        <v>0</v>
      </c>
      <c r="K349" s="297"/>
      <c r="L349" s="48"/>
      <c r="M349" s="112"/>
      <c r="N349" s="113"/>
    </row>
    <row r="350" spans="1:14" ht="31.5" customHeight="1">
      <c r="A350" s="108"/>
      <c r="B350" s="322" t="s">
        <v>182</v>
      </c>
      <c r="C350" s="49"/>
      <c r="D350" s="262"/>
      <c r="E350" s="146">
        <f aca="true" t="shared" si="60" ref="E350:E351">J350</f>
        <v>229.44756</v>
      </c>
      <c r="F350" s="297"/>
      <c r="G350" s="297"/>
      <c r="H350" s="297"/>
      <c r="I350" s="296"/>
      <c r="J350" s="316">
        <v>229.44756</v>
      </c>
      <c r="K350" s="297"/>
      <c r="L350" s="48"/>
      <c r="M350" s="112"/>
      <c r="N350" s="113"/>
    </row>
    <row r="351" spans="1:14" ht="21" customHeight="1">
      <c r="A351" s="108"/>
      <c r="B351" s="322" t="s">
        <v>183</v>
      </c>
      <c r="C351" s="49"/>
      <c r="D351" s="262"/>
      <c r="E351" s="146">
        <f t="shared" si="60"/>
        <v>500.68815</v>
      </c>
      <c r="F351" s="297"/>
      <c r="G351" s="297"/>
      <c r="H351" s="297"/>
      <c r="I351" s="296"/>
      <c r="J351" s="316">
        <v>500.68815</v>
      </c>
      <c r="K351" s="297"/>
      <c r="L351" s="48"/>
      <c r="M351" s="112"/>
      <c r="N351" s="113"/>
    </row>
    <row r="352" spans="1:14" ht="21" customHeight="1">
      <c r="A352" s="108"/>
      <c r="B352" s="322" t="s">
        <v>184</v>
      </c>
      <c r="C352" s="49"/>
      <c r="D352" s="323"/>
      <c r="E352" s="146">
        <f aca="true" t="shared" si="61" ref="E352:E374">F352+G352+J352+K352</f>
        <v>28.088</v>
      </c>
      <c r="F352" s="297"/>
      <c r="G352" s="297"/>
      <c r="H352" s="297"/>
      <c r="I352" s="296"/>
      <c r="J352" s="316">
        <v>28.088</v>
      </c>
      <c r="K352" s="297"/>
      <c r="L352" s="56" t="s">
        <v>99</v>
      </c>
      <c r="M352" s="112"/>
      <c r="N352" s="113"/>
    </row>
    <row r="353" spans="1:14" ht="35.25" customHeight="1">
      <c r="A353" s="108"/>
      <c r="B353" s="317" t="s">
        <v>185</v>
      </c>
      <c r="C353" s="49" t="s">
        <v>26</v>
      </c>
      <c r="D353" s="324"/>
      <c r="E353" s="146">
        <f t="shared" si="61"/>
        <v>0</v>
      </c>
      <c r="F353" s="297"/>
      <c r="G353" s="297"/>
      <c r="H353" s="297"/>
      <c r="I353" s="296"/>
      <c r="J353" s="316">
        <v>0</v>
      </c>
      <c r="K353" s="297"/>
      <c r="L353" s="292" t="s">
        <v>152</v>
      </c>
      <c r="M353" s="112"/>
      <c r="N353" s="113"/>
    </row>
    <row r="354" spans="1:14" ht="21.75" customHeight="1">
      <c r="A354" s="108"/>
      <c r="B354" s="314" t="s">
        <v>186</v>
      </c>
      <c r="C354" s="49"/>
      <c r="D354" s="323"/>
      <c r="E354" s="146">
        <f t="shared" si="61"/>
        <v>2452.67376</v>
      </c>
      <c r="F354" s="297"/>
      <c r="G354" s="297"/>
      <c r="H354" s="297"/>
      <c r="I354" s="296"/>
      <c r="J354" s="116">
        <v>2452.67376</v>
      </c>
      <c r="K354" s="297"/>
      <c r="L354" s="292"/>
      <c r="M354" s="112"/>
      <c r="N354" s="113"/>
    </row>
    <row r="355" spans="1:14" ht="36.75" customHeight="1">
      <c r="A355" s="108"/>
      <c r="B355" s="322" t="s">
        <v>187</v>
      </c>
      <c r="C355" s="49"/>
      <c r="D355" s="323"/>
      <c r="E355" s="146">
        <f t="shared" si="61"/>
        <v>453.35073</v>
      </c>
      <c r="F355" s="297"/>
      <c r="G355" s="297"/>
      <c r="H355" s="297"/>
      <c r="I355" s="296"/>
      <c r="J355" s="116">
        <v>453.35073</v>
      </c>
      <c r="K355" s="297"/>
      <c r="L355" s="292"/>
      <c r="M355" s="112"/>
      <c r="N355" s="113"/>
    </row>
    <row r="356" spans="1:14" ht="32.25" customHeight="1">
      <c r="A356" s="108"/>
      <c r="B356" s="322" t="s">
        <v>188</v>
      </c>
      <c r="C356" s="49"/>
      <c r="D356" s="323"/>
      <c r="E356" s="146">
        <f t="shared" si="61"/>
        <v>476.32042</v>
      </c>
      <c r="F356" s="297"/>
      <c r="G356" s="297"/>
      <c r="H356" s="297"/>
      <c r="I356" s="296"/>
      <c r="J356" s="116">
        <v>476.32042</v>
      </c>
      <c r="K356" s="297"/>
      <c r="L356" s="292"/>
      <c r="M356" s="112"/>
      <c r="N356" s="113"/>
    </row>
    <row r="357" spans="1:14" ht="32.25" customHeight="1">
      <c r="A357" s="108"/>
      <c r="B357" s="322" t="s">
        <v>189</v>
      </c>
      <c r="C357" s="49"/>
      <c r="D357" s="323"/>
      <c r="E357" s="146">
        <f t="shared" si="61"/>
        <v>50.531</v>
      </c>
      <c r="F357" s="297"/>
      <c r="G357" s="297"/>
      <c r="H357" s="297"/>
      <c r="I357" s="296"/>
      <c r="J357" s="116">
        <v>50.531</v>
      </c>
      <c r="K357" s="297"/>
      <c r="L357" s="292"/>
      <c r="M357" s="112"/>
      <c r="N357" s="113"/>
    </row>
    <row r="358" spans="1:14" ht="21" customHeight="1">
      <c r="A358" s="108"/>
      <c r="B358" s="322" t="s">
        <v>190</v>
      </c>
      <c r="C358" s="49"/>
      <c r="D358" s="323"/>
      <c r="E358" s="146">
        <f t="shared" si="61"/>
        <v>0</v>
      </c>
      <c r="F358" s="297"/>
      <c r="G358" s="297"/>
      <c r="H358" s="297"/>
      <c r="I358" s="296"/>
      <c r="J358" s="116">
        <v>0</v>
      </c>
      <c r="K358" s="297"/>
      <c r="L358" s="292"/>
      <c r="M358" s="112"/>
      <c r="N358" s="113"/>
    </row>
    <row r="359" spans="1:14" ht="49.5" customHeight="1">
      <c r="A359" s="108"/>
      <c r="B359" s="325" t="s">
        <v>191</v>
      </c>
      <c r="C359" s="49" t="s">
        <v>26</v>
      </c>
      <c r="D359" s="262"/>
      <c r="E359" s="146">
        <f t="shared" si="61"/>
        <v>120</v>
      </c>
      <c r="F359" s="297"/>
      <c r="G359" s="297"/>
      <c r="H359" s="297"/>
      <c r="I359" s="296"/>
      <c r="J359" s="21">
        <f>90+30</f>
        <v>120</v>
      </c>
      <c r="K359" s="297"/>
      <c r="L359" s="48" t="s">
        <v>26</v>
      </c>
      <c r="M359" s="112"/>
      <c r="N359" s="113"/>
    </row>
    <row r="360" spans="1:14" ht="40.5" customHeight="1">
      <c r="A360" s="108"/>
      <c r="B360" s="325" t="s">
        <v>192</v>
      </c>
      <c r="C360" s="49"/>
      <c r="D360" s="262"/>
      <c r="E360" s="146">
        <f t="shared" si="61"/>
        <v>72</v>
      </c>
      <c r="F360" s="297"/>
      <c r="G360" s="297"/>
      <c r="H360" s="297"/>
      <c r="I360" s="296"/>
      <c r="J360" s="21">
        <v>72</v>
      </c>
      <c r="K360" s="297"/>
      <c r="L360" s="326"/>
      <c r="M360" s="112"/>
      <c r="N360" s="113"/>
    </row>
    <row r="361" spans="1:14" ht="40.5" customHeight="1">
      <c r="A361" s="108"/>
      <c r="B361" s="325" t="s">
        <v>193</v>
      </c>
      <c r="C361" s="49"/>
      <c r="D361" s="262"/>
      <c r="E361" s="146">
        <f t="shared" si="61"/>
        <v>415.516</v>
      </c>
      <c r="F361" s="297"/>
      <c r="G361" s="297"/>
      <c r="H361" s="297"/>
      <c r="I361" s="296"/>
      <c r="J361" s="21">
        <v>415.516</v>
      </c>
      <c r="K361" s="297"/>
      <c r="L361" s="326"/>
      <c r="M361" s="112"/>
      <c r="N361" s="113"/>
    </row>
    <row r="362" spans="1:14" ht="51.75" customHeight="1">
      <c r="A362" s="108"/>
      <c r="B362" s="325" t="s">
        <v>194</v>
      </c>
      <c r="C362" s="49"/>
      <c r="D362" s="262"/>
      <c r="E362" s="146">
        <f t="shared" si="61"/>
        <v>0</v>
      </c>
      <c r="F362" s="297"/>
      <c r="G362" s="297"/>
      <c r="H362" s="297"/>
      <c r="I362" s="296"/>
      <c r="J362" s="21">
        <v>0</v>
      </c>
      <c r="K362" s="297"/>
      <c r="L362" s="327" t="s">
        <v>26</v>
      </c>
      <c r="M362" s="112"/>
      <c r="N362" s="113"/>
    </row>
    <row r="363" spans="1:14" ht="40.5" customHeight="1">
      <c r="A363" s="108"/>
      <c r="B363" s="325" t="s">
        <v>195</v>
      </c>
      <c r="C363" s="49"/>
      <c r="D363" s="262"/>
      <c r="E363" s="146">
        <f t="shared" si="61"/>
        <v>0</v>
      </c>
      <c r="F363" s="297"/>
      <c r="G363" s="297"/>
      <c r="H363" s="297"/>
      <c r="I363" s="296"/>
      <c r="J363" s="21">
        <v>0</v>
      </c>
      <c r="K363" s="297"/>
      <c r="L363" s="327"/>
      <c r="M363" s="112"/>
      <c r="N363" s="113"/>
    </row>
    <row r="364" spans="1:14" ht="36.75" customHeight="1">
      <c r="A364" s="108"/>
      <c r="B364" s="325" t="s">
        <v>196</v>
      </c>
      <c r="C364" s="49"/>
      <c r="D364" s="262"/>
      <c r="E364" s="146">
        <f t="shared" si="61"/>
        <v>0</v>
      </c>
      <c r="F364" s="297"/>
      <c r="G364" s="297"/>
      <c r="H364" s="297"/>
      <c r="I364" s="296"/>
      <c r="J364" s="21">
        <v>0</v>
      </c>
      <c r="K364" s="297"/>
      <c r="L364" s="327"/>
      <c r="M364" s="112"/>
      <c r="N364" s="113"/>
    </row>
    <row r="365" spans="1:14" ht="39" customHeight="1">
      <c r="A365" s="108"/>
      <c r="B365" s="325" t="s">
        <v>197</v>
      </c>
      <c r="C365" s="49"/>
      <c r="D365" s="262"/>
      <c r="E365" s="146">
        <f t="shared" si="61"/>
        <v>0</v>
      </c>
      <c r="F365" s="297"/>
      <c r="G365" s="297"/>
      <c r="H365" s="297"/>
      <c r="I365" s="296"/>
      <c r="J365" s="21">
        <v>0</v>
      </c>
      <c r="K365" s="297"/>
      <c r="L365" s="327"/>
      <c r="M365" s="112"/>
      <c r="N365" s="113"/>
    </row>
    <row r="366" spans="1:14" ht="39" customHeight="1">
      <c r="A366" s="108"/>
      <c r="B366" s="328" t="s">
        <v>198</v>
      </c>
      <c r="C366" s="49"/>
      <c r="D366" s="262"/>
      <c r="E366" s="146">
        <f t="shared" si="61"/>
        <v>2693.325</v>
      </c>
      <c r="F366" s="297"/>
      <c r="G366" s="297"/>
      <c r="H366" s="297"/>
      <c r="I366" s="296"/>
      <c r="J366" s="21">
        <f>2693.325</f>
        <v>2693.325</v>
      </c>
      <c r="K366" s="297"/>
      <c r="L366" s="327"/>
      <c r="M366" s="112"/>
      <c r="N366" s="113"/>
    </row>
    <row r="367" spans="1:14" ht="19.5" customHeight="1">
      <c r="A367" s="108"/>
      <c r="B367" s="314" t="s">
        <v>199</v>
      </c>
      <c r="C367" s="49" t="s">
        <v>27</v>
      </c>
      <c r="D367" s="262"/>
      <c r="E367" s="146">
        <f t="shared" si="61"/>
        <v>899.5906500000001</v>
      </c>
      <c r="F367" s="297"/>
      <c r="G367" s="297"/>
      <c r="H367" s="297"/>
      <c r="I367" s="296"/>
      <c r="J367" s="116">
        <f>1042.721+729.809-150.078-45.5575-677.30385</f>
        <v>899.5906500000001</v>
      </c>
      <c r="K367" s="297"/>
      <c r="L367" s="292" t="s">
        <v>152</v>
      </c>
      <c r="M367" s="112"/>
      <c r="N367" s="113"/>
    </row>
    <row r="368" spans="1:14" ht="31.5" customHeight="1">
      <c r="A368" s="108"/>
      <c r="B368" s="329" t="s">
        <v>200</v>
      </c>
      <c r="C368" s="49"/>
      <c r="D368" s="262"/>
      <c r="E368" s="146">
        <f t="shared" si="61"/>
        <v>332.2075</v>
      </c>
      <c r="F368" s="297"/>
      <c r="G368" s="297"/>
      <c r="H368" s="297"/>
      <c r="I368" s="296"/>
      <c r="J368" s="265">
        <f>286.65+45.5575</f>
        <v>332.2075</v>
      </c>
      <c r="K368" s="297"/>
      <c r="L368" s="292"/>
      <c r="M368" s="112"/>
      <c r="N368" s="113"/>
    </row>
    <row r="369" spans="1:14" ht="31.5" customHeight="1">
      <c r="A369" s="108"/>
      <c r="B369" s="329" t="s">
        <v>201</v>
      </c>
      <c r="C369" s="330"/>
      <c r="D369" s="262"/>
      <c r="E369" s="146">
        <f t="shared" si="61"/>
        <v>150.078</v>
      </c>
      <c r="F369" s="297"/>
      <c r="G369" s="297"/>
      <c r="H369" s="297"/>
      <c r="I369" s="296"/>
      <c r="J369" s="265">
        <v>150.078</v>
      </c>
      <c r="K369" s="297"/>
      <c r="L369" s="48" t="s">
        <v>27</v>
      </c>
      <c r="M369" s="112"/>
      <c r="N369" s="113"/>
    </row>
    <row r="370" spans="1:14" ht="35.25" customHeight="1">
      <c r="A370" s="108"/>
      <c r="B370" s="331" t="s">
        <v>202</v>
      </c>
      <c r="C370" s="49" t="s">
        <v>102</v>
      </c>
      <c r="D370" s="262"/>
      <c r="E370" s="146">
        <f t="shared" si="61"/>
        <v>0</v>
      </c>
      <c r="F370" s="297"/>
      <c r="G370" s="297"/>
      <c r="H370" s="297"/>
      <c r="I370" s="296"/>
      <c r="J370" s="116">
        <v>0</v>
      </c>
      <c r="K370" s="297"/>
      <c r="L370" s="292" t="s">
        <v>152</v>
      </c>
      <c r="M370" s="112"/>
      <c r="N370" s="113"/>
    </row>
    <row r="371" spans="1:14" ht="33" customHeight="1">
      <c r="A371" s="108"/>
      <c r="B371" s="314" t="s">
        <v>203</v>
      </c>
      <c r="C371" s="49"/>
      <c r="D371" s="262"/>
      <c r="E371" s="146">
        <f t="shared" si="61"/>
        <v>0</v>
      </c>
      <c r="F371" s="297"/>
      <c r="G371" s="297"/>
      <c r="H371" s="297"/>
      <c r="I371" s="296"/>
      <c r="J371" s="116">
        <v>0</v>
      </c>
      <c r="K371" s="297"/>
      <c r="L371" s="292"/>
      <c r="M371" s="112"/>
      <c r="N371" s="113"/>
    </row>
    <row r="372" spans="1:14" ht="36.75" customHeight="1">
      <c r="A372" s="108"/>
      <c r="B372" s="314" t="s">
        <v>204</v>
      </c>
      <c r="C372" s="49"/>
      <c r="D372" s="262"/>
      <c r="E372" s="146">
        <f t="shared" si="61"/>
        <v>782.0835</v>
      </c>
      <c r="F372" s="297"/>
      <c r="G372" s="297"/>
      <c r="H372" s="297"/>
      <c r="I372" s="296"/>
      <c r="J372" s="116">
        <v>782.0835</v>
      </c>
      <c r="K372" s="297"/>
      <c r="L372" s="292"/>
      <c r="M372" s="112"/>
      <c r="N372" s="113"/>
    </row>
    <row r="373" spans="1:14" ht="21" customHeight="1">
      <c r="A373" s="108"/>
      <c r="B373" s="314"/>
      <c r="C373" s="49"/>
      <c r="D373" s="262"/>
      <c r="E373" s="146">
        <f t="shared" si="61"/>
        <v>0</v>
      </c>
      <c r="F373" s="297"/>
      <c r="G373" s="297"/>
      <c r="H373" s="297"/>
      <c r="I373" s="296"/>
      <c r="J373" s="116"/>
      <c r="K373" s="297"/>
      <c r="L373" s="292"/>
      <c r="M373" s="112"/>
      <c r="N373" s="113"/>
    </row>
    <row r="374" spans="1:14" ht="32.25" customHeight="1">
      <c r="A374" s="108"/>
      <c r="B374" s="329" t="s">
        <v>205</v>
      </c>
      <c r="C374" s="49"/>
      <c r="D374" s="262"/>
      <c r="E374" s="297">
        <f t="shared" si="61"/>
        <v>32.154</v>
      </c>
      <c r="F374" s="297"/>
      <c r="G374" s="297"/>
      <c r="H374" s="297"/>
      <c r="I374" s="296"/>
      <c r="J374" s="190">
        <v>32.154</v>
      </c>
      <c r="K374" s="297"/>
      <c r="L374" s="168" t="s">
        <v>102</v>
      </c>
      <c r="M374" s="112"/>
      <c r="N374" s="113"/>
    </row>
    <row r="375" spans="1:14" ht="42.75" customHeight="1">
      <c r="A375" s="108"/>
      <c r="B375" s="312" t="s">
        <v>147</v>
      </c>
      <c r="C375" s="332"/>
      <c r="D375" s="258">
        <v>2022</v>
      </c>
      <c r="E375" s="301">
        <f>G375+J375</f>
        <v>9595.45441</v>
      </c>
      <c r="F375" s="301">
        <f>F376</f>
        <v>0</v>
      </c>
      <c r="G375" s="109">
        <f aca="true" t="shared" si="62" ref="G375:G376">H375+I375</f>
        <v>0</v>
      </c>
      <c r="H375" s="301">
        <f>H376</f>
        <v>0</v>
      </c>
      <c r="I375" s="301">
        <f>I376+I377+I378+I379+I380+I386+I387+I388+I389+I390+I391+I392+I393+I394+I395+I396+I397+I398+I399+I400+I401+I402+I403+I405</f>
        <v>0</v>
      </c>
      <c r="J375" s="219">
        <f>J376+J377+J378+J379+J380+J381+J382+J383+J384+J385+J386+J387+J388+J389+J390+J391+J392+J393+J394+J395+J396+J397+J398+J399+J400+J401+J402+J403+J404+J405+J406+J407+J408+J409+J410+J411+J412+J413</f>
        <v>9595.45441</v>
      </c>
      <c r="K375" s="302">
        <f>K376</f>
        <v>0</v>
      </c>
      <c r="L375" s="333"/>
      <c r="M375" s="112"/>
      <c r="N375" s="113"/>
    </row>
    <row r="376" spans="1:14" ht="38.25" customHeight="1">
      <c r="A376" s="108"/>
      <c r="B376" s="334" t="s">
        <v>206</v>
      </c>
      <c r="C376" s="259" t="s">
        <v>97</v>
      </c>
      <c r="D376" s="128"/>
      <c r="E376" s="304">
        <f aca="true" t="shared" si="63" ref="E376:E390">F376+G376+J376+K376</f>
        <v>1431.92097</v>
      </c>
      <c r="F376" s="304"/>
      <c r="G376" s="146">
        <f t="shared" si="62"/>
        <v>0</v>
      </c>
      <c r="H376" s="304"/>
      <c r="I376" s="305"/>
      <c r="J376" s="304">
        <v>1431.92097</v>
      </c>
      <c r="K376" s="304"/>
      <c r="L376" s="335" t="s">
        <v>152</v>
      </c>
      <c r="M376" s="112"/>
      <c r="N376" s="65"/>
    </row>
    <row r="377" spans="1:14" ht="39.75" customHeight="1">
      <c r="A377" s="108"/>
      <c r="B377" s="336" t="s">
        <v>207</v>
      </c>
      <c r="C377" s="259" t="s">
        <v>97</v>
      </c>
      <c r="D377" s="18"/>
      <c r="E377" s="304">
        <f t="shared" si="63"/>
        <v>104.869</v>
      </c>
      <c r="F377" s="146"/>
      <c r="G377" s="146"/>
      <c r="H377" s="146"/>
      <c r="I377" s="146"/>
      <c r="J377" s="146">
        <v>104.869</v>
      </c>
      <c r="K377" s="146"/>
      <c r="L377" s="335"/>
      <c r="M377" s="112"/>
      <c r="N377" s="65"/>
    </row>
    <row r="378" spans="1:14" ht="36.75" customHeight="1">
      <c r="A378" s="108"/>
      <c r="B378" s="336" t="s">
        <v>208</v>
      </c>
      <c r="C378" s="259" t="s">
        <v>97</v>
      </c>
      <c r="D378" s="18"/>
      <c r="E378" s="304">
        <f t="shared" si="63"/>
        <v>40.423</v>
      </c>
      <c r="F378" s="146"/>
      <c r="G378" s="146"/>
      <c r="H378" s="146"/>
      <c r="I378" s="146"/>
      <c r="J378" s="146">
        <v>40.423</v>
      </c>
      <c r="K378" s="146"/>
      <c r="L378" s="335"/>
      <c r="M378" s="112"/>
      <c r="N378" s="65"/>
    </row>
    <row r="379" spans="1:14" ht="65.25" customHeight="1">
      <c r="A379" s="108"/>
      <c r="B379" s="336" t="s">
        <v>209</v>
      </c>
      <c r="C379" s="259" t="s">
        <v>98</v>
      </c>
      <c r="D379" s="18"/>
      <c r="E379" s="304">
        <f t="shared" si="63"/>
        <v>0</v>
      </c>
      <c r="F379" s="146"/>
      <c r="G379" s="146"/>
      <c r="H379" s="146"/>
      <c r="I379" s="146"/>
      <c r="J379" s="146">
        <v>0</v>
      </c>
      <c r="K379" s="146"/>
      <c r="L379" s="292" t="s">
        <v>152</v>
      </c>
      <c r="M379" s="112"/>
      <c r="N379" s="113"/>
    </row>
    <row r="380" spans="1:14" ht="39.75" customHeight="1">
      <c r="A380" s="108"/>
      <c r="B380" s="336" t="s">
        <v>210</v>
      </c>
      <c r="C380" s="259" t="s">
        <v>98</v>
      </c>
      <c r="D380" s="18"/>
      <c r="E380" s="304">
        <f t="shared" si="63"/>
        <v>691.467</v>
      </c>
      <c r="F380" s="146"/>
      <c r="G380" s="146"/>
      <c r="H380" s="146"/>
      <c r="I380" s="146"/>
      <c r="J380" s="146">
        <v>691.467</v>
      </c>
      <c r="K380" s="146"/>
      <c r="L380" s="292"/>
      <c r="M380" s="112"/>
      <c r="N380" s="113"/>
    </row>
    <row r="381" spans="1:14" ht="39.75" customHeight="1">
      <c r="A381" s="108"/>
      <c r="B381" s="336" t="s">
        <v>211</v>
      </c>
      <c r="C381" s="259" t="s">
        <v>99</v>
      </c>
      <c r="D381" s="18"/>
      <c r="E381" s="304">
        <f t="shared" si="63"/>
        <v>77.914</v>
      </c>
      <c r="F381" s="146"/>
      <c r="G381" s="146"/>
      <c r="H381" s="146"/>
      <c r="I381" s="146"/>
      <c r="J381" s="146">
        <v>77.914</v>
      </c>
      <c r="K381" s="146"/>
      <c r="L381" s="292" t="s">
        <v>62</v>
      </c>
      <c r="M381" s="112"/>
      <c r="N381" s="113"/>
    </row>
    <row r="382" spans="1:14" ht="39.75" customHeight="1">
      <c r="A382" s="108"/>
      <c r="B382" s="336" t="s">
        <v>212</v>
      </c>
      <c r="C382" s="259" t="s">
        <v>99</v>
      </c>
      <c r="D382" s="18"/>
      <c r="E382" s="304">
        <f t="shared" si="63"/>
        <v>94.94999999999999</v>
      </c>
      <c r="F382" s="146"/>
      <c r="G382" s="146"/>
      <c r="H382" s="146"/>
      <c r="I382" s="146"/>
      <c r="J382" s="146">
        <f>94.85+0.1</f>
        <v>94.94999999999999</v>
      </c>
      <c r="K382" s="146"/>
      <c r="L382" s="292"/>
      <c r="M382" s="112"/>
      <c r="N382" s="113"/>
    </row>
    <row r="383" spans="1:14" ht="39.75" customHeight="1">
      <c r="A383" s="108"/>
      <c r="B383" s="336" t="s">
        <v>213</v>
      </c>
      <c r="C383" s="259" t="s">
        <v>99</v>
      </c>
      <c r="D383" s="18"/>
      <c r="E383" s="304">
        <f t="shared" si="63"/>
        <v>50</v>
      </c>
      <c r="F383" s="146"/>
      <c r="G383" s="146"/>
      <c r="H383" s="146"/>
      <c r="I383" s="146"/>
      <c r="J383" s="146">
        <v>50</v>
      </c>
      <c r="K383" s="146"/>
      <c r="L383" s="292"/>
      <c r="M383" s="112"/>
      <c r="N383" s="113"/>
    </row>
    <row r="384" spans="1:14" ht="39.75" customHeight="1">
      <c r="A384" s="108"/>
      <c r="B384" s="336" t="s">
        <v>214</v>
      </c>
      <c r="C384" s="259" t="s">
        <v>99</v>
      </c>
      <c r="D384" s="18"/>
      <c r="E384" s="304">
        <f t="shared" si="63"/>
        <v>86.945</v>
      </c>
      <c r="F384" s="146"/>
      <c r="G384" s="146"/>
      <c r="H384" s="146"/>
      <c r="I384" s="146"/>
      <c r="J384" s="146">
        <v>86.945</v>
      </c>
      <c r="K384" s="146"/>
      <c r="L384" s="292"/>
      <c r="M384" s="112"/>
      <c r="N384" s="113"/>
    </row>
    <row r="385" spans="1:14" ht="59.25" customHeight="1">
      <c r="A385" s="108"/>
      <c r="B385" s="336" t="s">
        <v>215</v>
      </c>
      <c r="C385" s="259" t="s">
        <v>99</v>
      </c>
      <c r="D385" s="18"/>
      <c r="E385" s="304">
        <f t="shared" si="63"/>
        <v>50</v>
      </c>
      <c r="F385" s="146"/>
      <c r="G385" s="146"/>
      <c r="H385" s="146"/>
      <c r="I385" s="146"/>
      <c r="J385" s="146">
        <v>50</v>
      </c>
      <c r="K385" s="146"/>
      <c r="L385" s="292"/>
      <c r="M385" s="112"/>
      <c r="N385" s="113"/>
    </row>
    <row r="386" spans="1:14" ht="54.75" customHeight="1">
      <c r="A386" s="108"/>
      <c r="B386" s="336" t="s">
        <v>216</v>
      </c>
      <c r="C386" s="49" t="s">
        <v>26</v>
      </c>
      <c r="D386" s="18"/>
      <c r="E386" s="304">
        <f t="shared" si="63"/>
        <v>0</v>
      </c>
      <c r="F386" s="146"/>
      <c r="G386" s="146"/>
      <c r="H386" s="146"/>
      <c r="I386" s="146"/>
      <c r="J386" s="146">
        <v>0</v>
      </c>
      <c r="K386" s="146"/>
      <c r="L386" s="292" t="s">
        <v>152</v>
      </c>
      <c r="M386" s="112"/>
      <c r="N386" s="113"/>
    </row>
    <row r="387" spans="1:14" ht="30" customHeight="1">
      <c r="A387" s="108"/>
      <c r="B387" s="336" t="s">
        <v>217</v>
      </c>
      <c r="C387" s="49" t="s">
        <v>26</v>
      </c>
      <c r="D387" s="18"/>
      <c r="E387" s="304">
        <f t="shared" si="63"/>
        <v>198.5</v>
      </c>
      <c r="F387" s="146"/>
      <c r="G387" s="146"/>
      <c r="H387" s="146"/>
      <c r="I387" s="146"/>
      <c r="J387" s="146">
        <v>198.5</v>
      </c>
      <c r="K387" s="146"/>
      <c r="L387" s="292"/>
      <c r="M387" s="112"/>
      <c r="N387" s="113"/>
    </row>
    <row r="388" spans="1:14" ht="30" customHeight="1">
      <c r="A388" s="108"/>
      <c r="B388" s="336" t="s">
        <v>218</v>
      </c>
      <c r="C388" s="49" t="s">
        <v>27</v>
      </c>
      <c r="D388" s="18"/>
      <c r="E388" s="304">
        <f t="shared" si="63"/>
        <v>1172.29383</v>
      </c>
      <c r="F388" s="146"/>
      <c r="G388" s="146"/>
      <c r="H388" s="146"/>
      <c r="I388" s="146"/>
      <c r="J388" s="146">
        <v>1172.29383</v>
      </c>
      <c r="K388" s="146"/>
      <c r="L388" s="292" t="s">
        <v>152</v>
      </c>
      <c r="M388" s="112"/>
      <c r="N388" s="113"/>
    </row>
    <row r="389" spans="1:14" ht="30" customHeight="1">
      <c r="A389" s="108"/>
      <c r="B389" s="336" t="s">
        <v>219</v>
      </c>
      <c r="C389" s="49" t="s">
        <v>27</v>
      </c>
      <c r="D389" s="18"/>
      <c r="E389" s="304">
        <f t="shared" si="63"/>
        <v>453.86547</v>
      </c>
      <c r="F389" s="146"/>
      <c r="G389" s="146"/>
      <c r="H389" s="146"/>
      <c r="I389" s="146"/>
      <c r="J389" s="146">
        <v>453.86547</v>
      </c>
      <c r="K389" s="146"/>
      <c r="L389" s="292"/>
      <c r="M389" s="112"/>
      <c r="N389" s="113"/>
    </row>
    <row r="390" spans="1:14" ht="32.25" customHeight="1">
      <c r="A390" s="108"/>
      <c r="B390" s="336" t="s">
        <v>220</v>
      </c>
      <c r="C390" s="49" t="s">
        <v>27</v>
      </c>
      <c r="D390" s="18"/>
      <c r="E390" s="304">
        <f t="shared" si="63"/>
        <v>0</v>
      </c>
      <c r="F390" s="146"/>
      <c r="G390" s="146"/>
      <c r="H390" s="146"/>
      <c r="I390" s="146"/>
      <c r="J390" s="146">
        <v>0</v>
      </c>
      <c r="K390" s="146"/>
      <c r="L390" s="292"/>
      <c r="M390" s="112"/>
      <c r="N390" s="113"/>
    </row>
    <row r="391" spans="1:14" ht="39.75" customHeight="1">
      <c r="A391" s="108"/>
      <c r="B391" s="336" t="s">
        <v>220</v>
      </c>
      <c r="C391" s="49" t="s">
        <v>27</v>
      </c>
      <c r="D391" s="18"/>
      <c r="E391" s="304">
        <f>F391+G391+J391+K391+I391</f>
        <v>0</v>
      </c>
      <c r="F391" s="146"/>
      <c r="G391" s="146"/>
      <c r="H391" s="146"/>
      <c r="I391" s="146">
        <v>0</v>
      </c>
      <c r="J391" s="146">
        <v>0</v>
      </c>
      <c r="K391" s="146"/>
      <c r="L391" s="292"/>
      <c r="M391" s="112"/>
      <c r="N391" s="113"/>
    </row>
    <row r="392" spans="1:14" ht="47.25" customHeight="1">
      <c r="A392" s="108"/>
      <c r="B392" s="336" t="s">
        <v>221</v>
      </c>
      <c r="C392" s="261" t="s">
        <v>102</v>
      </c>
      <c r="D392" s="18"/>
      <c r="E392" s="304">
        <f aca="true" t="shared" si="64" ref="E392:E413">F392+G392+J392+K392</f>
        <v>469.3685</v>
      </c>
      <c r="F392" s="146"/>
      <c r="G392" s="146"/>
      <c r="H392" s="146"/>
      <c r="I392" s="146"/>
      <c r="J392" s="146">
        <v>469.3685</v>
      </c>
      <c r="K392" s="146"/>
      <c r="L392" s="292" t="s">
        <v>152</v>
      </c>
      <c r="M392" s="112"/>
      <c r="N392" s="113"/>
    </row>
    <row r="393" spans="1:14" ht="43.5" customHeight="1">
      <c r="A393" s="108"/>
      <c r="B393" s="336" t="s">
        <v>222</v>
      </c>
      <c r="C393" s="261" t="s">
        <v>102</v>
      </c>
      <c r="D393" s="18"/>
      <c r="E393" s="304">
        <f t="shared" si="64"/>
        <v>333.74</v>
      </c>
      <c r="F393" s="146"/>
      <c r="G393" s="146"/>
      <c r="H393" s="146"/>
      <c r="I393" s="146"/>
      <c r="J393" s="146">
        <v>333.74</v>
      </c>
      <c r="K393" s="146"/>
      <c r="L393" s="292" t="s">
        <v>62</v>
      </c>
      <c r="M393" s="112"/>
      <c r="N393" s="113"/>
    </row>
    <row r="394" spans="1:14" ht="43.5" customHeight="1">
      <c r="A394" s="108"/>
      <c r="B394" s="336" t="s">
        <v>223</v>
      </c>
      <c r="C394" s="259" t="s">
        <v>98</v>
      </c>
      <c r="D394" s="18"/>
      <c r="E394" s="304">
        <f t="shared" si="64"/>
        <v>400</v>
      </c>
      <c r="F394" s="146"/>
      <c r="G394" s="146"/>
      <c r="H394" s="146"/>
      <c r="I394" s="146"/>
      <c r="J394" s="146">
        <v>400</v>
      </c>
      <c r="K394" s="146"/>
      <c r="L394" s="292" t="s">
        <v>62</v>
      </c>
      <c r="M394" s="112"/>
      <c r="N394" s="113"/>
    </row>
    <row r="395" spans="1:14" ht="41.25" customHeight="1">
      <c r="A395" s="108"/>
      <c r="B395" s="336" t="s">
        <v>224</v>
      </c>
      <c r="C395" s="49" t="s">
        <v>27</v>
      </c>
      <c r="D395" s="18"/>
      <c r="E395" s="304">
        <f t="shared" si="64"/>
        <v>59.907</v>
      </c>
      <c r="F395" s="146"/>
      <c r="G395" s="146"/>
      <c r="H395" s="146"/>
      <c r="I395" s="146"/>
      <c r="J395" s="146">
        <v>59.907</v>
      </c>
      <c r="K395" s="146"/>
      <c r="L395" s="292"/>
      <c r="M395" s="112"/>
      <c r="N395" s="113"/>
    </row>
    <row r="396" spans="1:14" ht="51.75" customHeight="1">
      <c r="A396" s="108"/>
      <c r="B396" s="336" t="s">
        <v>225</v>
      </c>
      <c r="C396" s="49" t="s">
        <v>27</v>
      </c>
      <c r="D396" s="18"/>
      <c r="E396" s="304">
        <f t="shared" si="64"/>
        <v>185.714</v>
      </c>
      <c r="F396" s="146"/>
      <c r="G396" s="146"/>
      <c r="H396" s="146"/>
      <c r="I396" s="146"/>
      <c r="J396" s="146">
        <v>185.714</v>
      </c>
      <c r="K396" s="146"/>
      <c r="L396" s="292" t="s">
        <v>62</v>
      </c>
      <c r="M396" s="112"/>
      <c r="N396" s="113"/>
    </row>
    <row r="397" spans="1:14" ht="63.75" customHeight="1">
      <c r="A397" s="108"/>
      <c r="B397" s="336" t="s">
        <v>226</v>
      </c>
      <c r="C397" s="49" t="s">
        <v>26</v>
      </c>
      <c r="D397" s="18"/>
      <c r="E397" s="304">
        <f t="shared" si="64"/>
        <v>162.495</v>
      </c>
      <c r="F397" s="146"/>
      <c r="G397" s="146"/>
      <c r="H397" s="146"/>
      <c r="I397" s="146"/>
      <c r="J397" s="146">
        <v>162.495</v>
      </c>
      <c r="K397" s="297"/>
      <c r="L397" s="337" t="s">
        <v>62</v>
      </c>
      <c r="M397" s="112"/>
      <c r="N397" s="113">
        <v>143.932</v>
      </c>
    </row>
    <row r="398" spans="1:14" ht="62.25" customHeight="1">
      <c r="A398" s="108"/>
      <c r="B398" s="336" t="s">
        <v>227</v>
      </c>
      <c r="C398" s="49" t="s">
        <v>26</v>
      </c>
      <c r="D398" s="18"/>
      <c r="E398" s="304">
        <f t="shared" si="64"/>
        <v>411.507</v>
      </c>
      <c r="F398" s="146"/>
      <c r="G398" s="146"/>
      <c r="H398" s="146"/>
      <c r="I398" s="146"/>
      <c r="J398" s="146">
        <v>411.507</v>
      </c>
      <c r="K398" s="146"/>
      <c r="L398" s="338" t="s">
        <v>62</v>
      </c>
      <c r="M398" s="112"/>
      <c r="N398" s="113"/>
    </row>
    <row r="399" spans="1:14" ht="96" customHeight="1">
      <c r="A399" s="108"/>
      <c r="B399" s="336" t="s">
        <v>228</v>
      </c>
      <c r="C399" s="259" t="s">
        <v>98</v>
      </c>
      <c r="D399" s="18"/>
      <c r="E399" s="304">
        <f t="shared" si="64"/>
        <v>143.932</v>
      </c>
      <c r="F399" s="146"/>
      <c r="G399" s="146"/>
      <c r="H399" s="146"/>
      <c r="I399" s="146"/>
      <c r="J399" s="146">
        <v>143.932</v>
      </c>
      <c r="K399" s="146"/>
      <c r="L399" s="338"/>
      <c r="M399" s="112"/>
      <c r="N399" s="113"/>
    </row>
    <row r="400" spans="1:14" ht="58.5" customHeight="1">
      <c r="A400" s="108"/>
      <c r="B400" s="336" t="s">
        <v>229</v>
      </c>
      <c r="C400" s="259" t="s">
        <v>98</v>
      </c>
      <c r="D400" s="18"/>
      <c r="E400" s="304">
        <f t="shared" si="64"/>
        <v>61.535</v>
      </c>
      <c r="F400" s="146"/>
      <c r="G400" s="146"/>
      <c r="H400" s="146"/>
      <c r="I400" s="146"/>
      <c r="J400" s="146">
        <v>61.535</v>
      </c>
      <c r="K400" s="146"/>
      <c r="L400" s="338"/>
      <c r="M400" s="112"/>
      <c r="N400" s="113"/>
    </row>
    <row r="401" spans="1:14" ht="30" customHeight="1">
      <c r="A401" s="108"/>
      <c r="B401" s="336" t="s">
        <v>230</v>
      </c>
      <c r="C401" s="259" t="s">
        <v>98</v>
      </c>
      <c r="D401" s="18"/>
      <c r="E401" s="304">
        <f t="shared" si="64"/>
        <v>60.16185</v>
      </c>
      <c r="F401" s="146"/>
      <c r="G401" s="146"/>
      <c r="H401" s="146"/>
      <c r="I401" s="146"/>
      <c r="J401" s="146">
        <v>60.16185</v>
      </c>
      <c r="K401" s="146"/>
      <c r="L401" s="338"/>
      <c r="M401" s="112"/>
      <c r="N401" s="113"/>
    </row>
    <row r="402" spans="1:14" ht="41.25" customHeight="1">
      <c r="A402" s="108"/>
      <c r="B402" s="336" t="s">
        <v>231</v>
      </c>
      <c r="C402" s="259" t="s">
        <v>98</v>
      </c>
      <c r="D402" s="18"/>
      <c r="E402" s="304">
        <f t="shared" si="64"/>
        <v>110.975</v>
      </c>
      <c r="F402" s="146"/>
      <c r="G402" s="146"/>
      <c r="H402" s="146"/>
      <c r="I402" s="146"/>
      <c r="J402" s="146">
        <v>110.975</v>
      </c>
      <c r="K402" s="146"/>
      <c r="L402" s="338"/>
      <c r="M402" s="112"/>
      <c r="N402" s="113"/>
    </row>
    <row r="403" spans="1:14" ht="58.5" customHeight="1">
      <c r="A403" s="108"/>
      <c r="B403" s="336" t="s">
        <v>232</v>
      </c>
      <c r="C403" s="259" t="s">
        <v>154</v>
      </c>
      <c r="D403" s="18"/>
      <c r="E403" s="304">
        <f t="shared" si="64"/>
        <v>180.702</v>
      </c>
      <c r="F403" s="146"/>
      <c r="G403" s="146"/>
      <c r="H403" s="146"/>
      <c r="I403" s="146"/>
      <c r="J403" s="146">
        <v>180.702</v>
      </c>
      <c r="K403" s="146"/>
      <c r="L403" s="338"/>
      <c r="M403" s="112"/>
      <c r="N403" s="113"/>
    </row>
    <row r="404" spans="1:14" ht="84" customHeight="1">
      <c r="A404" s="108"/>
      <c r="B404" s="336" t="s">
        <v>233</v>
      </c>
      <c r="C404" s="259" t="s">
        <v>98</v>
      </c>
      <c r="D404" s="18"/>
      <c r="E404" s="304">
        <f t="shared" si="64"/>
        <v>36</v>
      </c>
      <c r="F404" s="146"/>
      <c r="G404" s="146"/>
      <c r="H404" s="146"/>
      <c r="I404" s="146"/>
      <c r="J404" s="146">
        <v>36</v>
      </c>
      <c r="K404" s="146"/>
      <c r="L404" s="338"/>
      <c r="M404" s="112"/>
      <c r="N404" s="113"/>
    </row>
    <row r="405" spans="1:14" ht="41.25" customHeight="1">
      <c r="A405" s="108"/>
      <c r="B405" s="336" t="s">
        <v>234</v>
      </c>
      <c r="C405" s="259" t="s">
        <v>98</v>
      </c>
      <c r="D405" s="18"/>
      <c r="E405" s="304">
        <f t="shared" si="64"/>
        <v>246.673</v>
      </c>
      <c r="F405" s="146"/>
      <c r="G405" s="146"/>
      <c r="H405" s="146"/>
      <c r="I405" s="146"/>
      <c r="J405" s="146">
        <v>246.673</v>
      </c>
      <c r="K405" s="146"/>
      <c r="L405" s="338"/>
      <c r="M405" s="112"/>
      <c r="N405" s="113"/>
    </row>
    <row r="406" spans="1:14" ht="60.75" customHeight="1">
      <c r="A406" s="108"/>
      <c r="B406" s="336" t="s">
        <v>235</v>
      </c>
      <c r="C406" s="259" t="s">
        <v>98</v>
      </c>
      <c r="D406" s="18"/>
      <c r="E406" s="304">
        <f t="shared" si="64"/>
        <v>81.973</v>
      </c>
      <c r="F406" s="146"/>
      <c r="G406" s="146"/>
      <c r="H406" s="146"/>
      <c r="I406" s="146"/>
      <c r="J406" s="146">
        <v>81.973</v>
      </c>
      <c r="K406" s="146"/>
      <c r="L406" s="338"/>
      <c r="M406" s="112"/>
      <c r="N406" s="113"/>
    </row>
    <row r="407" spans="1:14" ht="41.25" customHeight="1">
      <c r="A407" s="108"/>
      <c r="B407" s="336" t="s">
        <v>236</v>
      </c>
      <c r="C407" s="259" t="s">
        <v>97</v>
      </c>
      <c r="D407" s="18"/>
      <c r="E407" s="304">
        <f t="shared" si="64"/>
        <v>562.466</v>
      </c>
      <c r="F407" s="146"/>
      <c r="G407" s="146"/>
      <c r="H407" s="146"/>
      <c r="I407" s="146"/>
      <c r="J407" s="146">
        <v>562.466</v>
      </c>
      <c r="K407" s="146"/>
      <c r="L407" s="338"/>
      <c r="M407" s="112"/>
      <c r="N407" s="113"/>
    </row>
    <row r="408" spans="1:14" ht="41.25" customHeight="1">
      <c r="A408" s="108"/>
      <c r="B408" s="339" t="s">
        <v>237</v>
      </c>
      <c r="C408" s="259" t="s">
        <v>97</v>
      </c>
      <c r="D408" s="59"/>
      <c r="E408" s="304">
        <f t="shared" si="64"/>
        <v>357</v>
      </c>
      <c r="F408" s="146"/>
      <c r="G408" s="146"/>
      <c r="H408" s="146"/>
      <c r="I408" s="146"/>
      <c r="J408" s="146">
        <v>357</v>
      </c>
      <c r="K408" s="146"/>
      <c r="L408" s="338"/>
      <c r="M408" s="112"/>
      <c r="N408" s="113"/>
    </row>
    <row r="409" spans="1:14" ht="41.25" customHeight="1">
      <c r="A409" s="108"/>
      <c r="B409" s="339" t="s">
        <v>238</v>
      </c>
      <c r="C409" s="340" t="s">
        <v>97</v>
      </c>
      <c r="D409" s="18"/>
      <c r="E409" s="304">
        <f t="shared" si="64"/>
        <v>60.598</v>
      </c>
      <c r="F409" s="146"/>
      <c r="G409" s="146"/>
      <c r="H409" s="146"/>
      <c r="I409" s="146"/>
      <c r="J409" s="146">
        <v>60.598</v>
      </c>
      <c r="K409" s="146"/>
      <c r="L409" s="338"/>
      <c r="M409" s="112"/>
      <c r="N409" s="113"/>
    </row>
    <row r="410" spans="1:14" ht="41.25" customHeight="1">
      <c r="A410" s="108"/>
      <c r="B410" s="339" t="s">
        <v>239</v>
      </c>
      <c r="C410" s="340"/>
      <c r="D410" s="18"/>
      <c r="E410" s="304">
        <f t="shared" si="64"/>
        <v>29.216</v>
      </c>
      <c r="F410" s="146"/>
      <c r="G410" s="146"/>
      <c r="H410" s="146"/>
      <c r="I410" s="146"/>
      <c r="J410" s="146">
        <v>29.216</v>
      </c>
      <c r="K410" s="146"/>
      <c r="L410" s="338"/>
      <c r="M410" s="112"/>
      <c r="N410" s="113"/>
    </row>
    <row r="411" spans="1:14" ht="41.25" customHeight="1">
      <c r="A411" s="108"/>
      <c r="B411" s="339" t="s">
        <v>240</v>
      </c>
      <c r="C411" s="340"/>
      <c r="D411" s="18"/>
      <c r="E411" s="146">
        <f t="shared" si="64"/>
        <v>856.85879</v>
      </c>
      <c r="F411" s="146"/>
      <c r="G411" s="146"/>
      <c r="H411" s="146"/>
      <c r="I411" s="146"/>
      <c r="J411" s="146">
        <v>856.85879</v>
      </c>
      <c r="K411" s="146"/>
      <c r="L411" s="338"/>
      <c r="M411" s="112"/>
      <c r="N411" s="113"/>
    </row>
    <row r="412" spans="1:14" ht="41.25" customHeight="1">
      <c r="A412" s="108"/>
      <c r="B412" s="341" t="s">
        <v>241</v>
      </c>
      <c r="C412" s="259" t="s">
        <v>97</v>
      </c>
      <c r="D412" s="59"/>
      <c r="E412" s="146">
        <f t="shared" si="64"/>
        <v>43</v>
      </c>
      <c r="F412" s="146"/>
      <c r="G412" s="146"/>
      <c r="H412" s="146"/>
      <c r="I412" s="146"/>
      <c r="J412" s="146">
        <v>43</v>
      </c>
      <c r="K412" s="146"/>
      <c r="L412" s="338"/>
      <c r="M412" s="112"/>
      <c r="N412" s="113"/>
    </row>
    <row r="413" spans="1:14" ht="86.25" customHeight="1">
      <c r="A413" s="108"/>
      <c r="B413" s="112" t="s">
        <v>242</v>
      </c>
      <c r="C413" s="342" t="s">
        <v>97</v>
      </c>
      <c r="D413" s="59"/>
      <c r="E413" s="146">
        <f t="shared" si="64"/>
        <v>288.484</v>
      </c>
      <c r="F413" s="146"/>
      <c r="G413" s="146"/>
      <c r="H413" s="146"/>
      <c r="I413" s="146"/>
      <c r="J413" s="146">
        <v>288.484</v>
      </c>
      <c r="K413" s="146"/>
      <c r="L413" s="338"/>
      <c r="M413" s="112"/>
      <c r="N413" s="113"/>
    </row>
    <row r="414" spans="1:14" ht="41.25" customHeight="1">
      <c r="A414" s="108"/>
      <c r="B414" s="343" t="s">
        <v>147</v>
      </c>
      <c r="C414" s="344"/>
      <c r="D414" s="345">
        <v>2023</v>
      </c>
      <c r="E414" s="346">
        <f>SUM(E415:E450)</f>
        <v>8952.27523</v>
      </c>
      <c r="F414" s="346">
        <f>SUM(F415:F450)</f>
        <v>0</v>
      </c>
      <c r="G414" s="346">
        <f>SUM(G415:G450)</f>
        <v>0</v>
      </c>
      <c r="H414" s="346">
        <f>SUM(H415:H450)</f>
        <v>0</v>
      </c>
      <c r="I414" s="346">
        <f>SUM(I415:I450)</f>
        <v>1790.52674</v>
      </c>
      <c r="J414" s="346">
        <f>SUM(J415:J450)</f>
        <v>7161.74849</v>
      </c>
      <c r="K414" s="346">
        <f>SUM(K415:K450)</f>
        <v>0</v>
      </c>
      <c r="L414" s="347"/>
      <c r="M414" s="112"/>
      <c r="N414" s="113"/>
    </row>
    <row r="415" spans="1:14" ht="41.25" customHeight="1">
      <c r="A415" s="108"/>
      <c r="B415" s="348" t="s">
        <v>243</v>
      </c>
      <c r="C415" s="49" t="s">
        <v>27</v>
      </c>
      <c r="D415" s="18"/>
      <c r="E415" s="304">
        <f aca="true" t="shared" si="65" ref="E415:E416">F415+G415+J415+K415</f>
        <v>351.9</v>
      </c>
      <c r="F415" s="146"/>
      <c r="G415" s="146"/>
      <c r="H415" s="146"/>
      <c r="I415" s="146"/>
      <c r="J415" s="21">
        <v>351.9</v>
      </c>
      <c r="K415" s="109"/>
      <c r="L415" s="315" t="s">
        <v>62</v>
      </c>
      <c r="M415" s="112"/>
      <c r="N415" s="113"/>
    </row>
    <row r="416" spans="1:14" ht="41.25" customHeight="1">
      <c r="A416" s="108"/>
      <c r="B416" s="348" t="s">
        <v>244</v>
      </c>
      <c r="C416" s="49" t="s">
        <v>27</v>
      </c>
      <c r="D416" s="18"/>
      <c r="E416" s="304">
        <f t="shared" si="65"/>
        <v>130.05842</v>
      </c>
      <c r="F416" s="146"/>
      <c r="G416" s="146"/>
      <c r="H416" s="146"/>
      <c r="I416" s="146"/>
      <c r="J416" s="21">
        <v>130.05842</v>
      </c>
      <c r="K416" s="146"/>
      <c r="L416" s="315"/>
      <c r="M416" s="112"/>
      <c r="N416" s="113"/>
    </row>
    <row r="417" spans="1:14" ht="35.25" customHeight="1">
      <c r="A417" s="108"/>
      <c r="B417" s="348" t="s">
        <v>245</v>
      </c>
      <c r="C417" s="49" t="s">
        <v>27</v>
      </c>
      <c r="D417" s="18"/>
      <c r="E417" s="304">
        <f>F417+G417+J417+K417+I417</f>
        <v>23.04158</v>
      </c>
      <c r="F417" s="146"/>
      <c r="G417" s="146"/>
      <c r="H417" s="146"/>
      <c r="I417" s="146"/>
      <c r="J417" s="21">
        <v>23.04158</v>
      </c>
      <c r="K417" s="146"/>
      <c r="L417" s="315"/>
      <c r="M417" s="112"/>
      <c r="N417" s="113"/>
    </row>
    <row r="418" spans="1:14" ht="41.25" customHeight="1">
      <c r="A418" s="108"/>
      <c r="B418" s="348" t="s">
        <v>246</v>
      </c>
      <c r="C418" s="259" t="s">
        <v>97</v>
      </c>
      <c r="D418" s="18"/>
      <c r="E418" s="304">
        <f aca="true" t="shared" si="66" ref="E418:E435">F418+G418+J418+K418</f>
        <v>7.86536</v>
      </c>
      <c r="F418" s="146"/>
      <c r="G418" s="146"/>
      <c r="H418" s="146"/>
      <c r="I418" s="146"/>
      <c r="J418" s="21">
        <v>7.86536</v>
      </c>
      <c r="K418" s="146"/>
      <c r="L418" s="315"/>
      <c r="M418" s="112"/>
      <c r="N418" s="113"/>
    </row>
    <row r="419" spans="1:14" ht="41.25" customHeight="1">
      <c r="A419" s="108"/>
      <c r="B419" s="348" t="s">
        <v>247</v>
      </c>
      <c r="C419" s="259" t="s">
        <v>97</v>
      </c>
      <c r="D419" s="18"/>
      <c r="E419" s="304">
        <f t="shared" si="66"/>
        <v>7.10864</v>
      </c>
      <c r="F419" s="146"/>
      <c r="G419" s="146"/>
      <c r="H419" s="146"/>
      <c r="I419" s="146"/>
      <c r="J419" s="21">
        <v>7.10864</v>
      </c>
      <c r="K419" s="146"/>
      <c r="L419" s="315"/>
      <c r="M419" s="112"/>
      <c r="N419" s="113"/>
    </row>
    <row r="420" spans="1:14" ht="41.25" customHeight="1">
      <c r="A420" s="108"/>
      <c r="B420" s="348" t="s">
        <v>248</v>
      </c>
      <c r="C420" s="259" t="s">
        <v>97</v>
      </c>
      <c r="D420" s="18"/>
      <c r="E420" s="304">
        <f t="shared" si="66"/>
        <v>31.676</v>
      </c>
      <c r="F420" s="146"/>
      <c r="G420" s="146"/>
      <c r="H420" s="146"/>
      <c r="I420" s="146"/>
      <c r="J420" s="21">
        <v>31.676</v>
      </c>
      <c r="K420" s="146"/>
      <c r="L420" s="315"/>
      <c r="M420" s="112"/>
      <c r="N420" s="113"/>
    </row>
    <row r="421" spans="1:14" ht="41.25" customHeight="1">
      <c r="A421" s="108"/>
      <c r="B421" s="348" t="s">
        <v>249</v>
      </c>
      <c r="C421" s="349" t="s">
        <v>97</v>
      </c>
      <c r="D421" s="262"/>
      <c r="E421" s="304">
        <f t="shared" si="66"/>
        <v>59.418</v>
      </c>
      <c r="F421" s="297"/>
      <c r="G421" s="146"/>
      <c r="H421" s="146"/>
      <c r="I421" s="146"/>
      <c r="J421" s="21">
        <v>59.418</v>
      </c>
      <c r="K421" s="146"/>
      <c r="L421" s="315"/>
      <c r="M421" s="112"/>
      <c r="N421" s="113"/>
    </row>
    <row r="422" spans="1:14" ht="41.25" customHeight="1">
      <c r="A422" s="108"/>
      <c r="B422" s="348" t="s">
        <v>250</v>
      </c>
      <c r="C422" s="78" t="s">
        <v>97</v>
      </c>
      <c r="D422" s="323"/>
      <c r="E422" s="304">
        <f t="shared" si="66"/>
        <v>20.38117</v>
      </c>
      <c r="F422" s="297"/>
      <c r="G422" s="146"/>
      <c r="H422" s="146"/>
      <c r="I422" s="146"/>
      <c r="J422" s="21">
        <v>20.38117</v>
      </c>
      <c r="K422" s="146"/>
      <c r="L422" s="315"/>
      <c r="M422" s="112"/>
      <c r="N422" s="113"/>
    </row>
    <row r="423" spans="1:14" ht="36.75" customHeight="1">
      <c r="A423" s="108"/>
      <c r="B423" s="348" t="s">
        <v>251</v>
      </c>
      <c r="C423" s="49" t="s">
        <v>26</v>
      </c>
      <c r="D423" s="323"/>
      <c r="E423" s="304">
        <f t="shared" si="66"/>
        <v>299.86325</v>
      </c>
      <c r="F423" s="297"/>
      <c r="G423" s="146"/>
      <c r="H423" s="146"/>
      <c r="I423" s="146"/>
      <c r="J423" s="21">
        <v>299.86325</v>
      </c>
      <c r="K423" s="146"/>
      <c r="L423" s="315"/>
      <c r="M423" s="112"/>
      <c r="N423" s="113"/>
    </row>
    <row r="424" spans="1:14" ht="36.75" customHeight="1">
      <c r="A424" s="108"/>
      <c r="B424" s="348" t="s">
        <v>252</v>
      </c>
      <c r="C424" s="49" t="s">
        <v>26</v>
      </c>
      <c r="D424" s="323"/>
      <c r="E424" s="304">
        <f t="shared" si="66"/>
        <v>178.60361</v>
      </c>
      <c r="F424" s="297"/>
      <c r="G424" s="146"/>
      <c r="H424" s="146"/>
      <c r="I424" s="146"/>
      <c r="J424" s="21">
        <v>178.60361</v>
      </c>
      <c r="K424" s="146"/>
      <c r="L424" s="315"/>
      <c r="M424" s="112"/>
      <c r="N424" s="113"/>
    </row>
    <row r="425" spans="1:14" ht="36.75" customHeight="1">
      <c r="A425" s="108"/>
      <c r="B425" s="348" t="s">
        <v>253</v>
      </c>
      <c r="C425" s="49" t="s">
        <v>26</v>
      </c>
      <c r="D425" s="323"/>
      <c r="E425" s="304">
        <f t="shared" si="66"/>
        <v>24.2</v>
      </c>
      <c r="F425" s="297"/>
      <c r="G425" s="146"/>
      <c r="H425" s="146"/>
      <c r="I425" s="146"/>
      <c r="J425" s="21">
        <v>24.2</v>
      </c>
      <c r="K425" s="146"/>
      <c r="L425" s="315"/>
      <c r="M425" s="112"/>
      <c r="N425" s="113"/>
    </row>
    <row r="426" spans="1:14" ht="41.25" customHeight="1">
      <c r="A426" s="108"/>
      <c r="B426" s="348" t="s">
        <v>254</v>
      </c>
      <c r="C426" s="78" t="s">
        <v>102</v>
      </c>
      <c r="D426" s="323"/>
      <c r="E426" s="304">
        <f t="shared" si="66"/>
        <v>41.41558</v>
      </c>
      <c r="F426" s="297"/>
      <c r="G426" s="146"/>
      <c r="H426" s="146"/>
      <c r="I426" s="146"/>
      <c r="J426" s="21">
        <v>41.41558</v>
      </c>
      <c r="K426" s="146"/>
      <c r="L426" s="315"/>
      <c r="M426" s="112"/>
      <c r="N426" s="113"/>
    </row>
    <row r="427" spans="1:14" ht="41.25" customHeight="1">
      <c r="A427" s="108"/>
      <c r="B427" s="348" t="s">
        <v>255</v>
      </c>
      <c r="C427" s="78" t="s">
        <v>102</v>
      </c>
      <c r="D427" s="323"/>
      <c r="E427" s="350">
        <f t="shared" si="66"/>
        <v>125.98873</v>
      </c>
      <c r="F427" s="297"/>
      <c r="G427" s="146"/>
      <c r="H427" s="146"/>
      <c r="I427" s="146"/>
      <c r="J427" s="21">
        <f>80+45.98873</f>
        <v>125.98873</v>
      </c>
      <c r="K427" s="146"/>
      <c r="L427" s="315"/>
      <c r="M427" s="112"/>
      <c r="N427" s="113"/>
    </row>
    <row r="428" spans="1:14" ht="41.25" customHeight="1">
      <c r="A428" s="108"/>
      <c r="B428" s="348" t="s">
        <v>256</v>
      </c>
      <c r="C428" s="78" t="s">
        <v>98</v>
      </c>
      <c r="D428" s="18"/>
      <c r="E428" s="146">
        <f t="shared" si="66"/>
        <v>71.63955</v>
      </c>
      <c r="F428" s="146"/>
      <c r="G428" s="146"/>
      <c r="H428" s="146"/>
      <c r="I428" s="146"/>
      <c r="J428" s="21">
        <v>71.63955</v>
      </c>
      <c r="K428" s="146"/>
      <c r="L428" s="315"/>
      <c r="M428" s="112"/>
      <c r="N428" s="113"/>
    </row>
    <row r="429" spans="1:14" ht="41.25" customHeight="1">
      <c r="A429" s="108"/>
      <c r="B429" s="351" t="s">
        <v>257</v>
      </c>
      <c r="C429" s="78" t="s">
        <v>98</v>
      </c>
      <c r="D429" s="18"/>
      <c r="E429" s="146">
        <f t="shared" si="66"/>
        <v>9.28805</v>
      </c>
      <c r="F429" s="146"/>
      <c r="G429" s="146"/>
      <c r="H429" s="146"/>
      <c r="I429" s="146"/>
      <c r="J429" s="21">
        <v>9.28805</v>
      </c>
      <c r="K429" s="146"/>
      <c r="L429" s="315"/>
      <c r="M429" s="112"/>
      <c r="N429" s="113"/>
    </row>
    <row r="430" spans="1:14" ht="41.25" customHeight="1">
      <c r="A430" s="108"/>
      <c r="B430" s="351" t="s">
        <v>258</v>
      </c>
      <c r="C430" s="78" t="s">
        <v>98</v>
      </c>
      <c r="D430" s="18"/>
      <c r="E430" s="146">
        <f t="shared" si="66"/>
        <v>131.90395</v>
      </c>
      <c r="F430" s="146"/>
      <c r="G430" s="297"/>
      <c r="H430" s="297"/>
      <c r="I430" s="297"/>
      <c r="J430" s="265">
        <v>131.90395</v>
      </c>
      <c r="K430" s="146"/>
      <c r="L430" s="315"/>
      <c r="M430" s="112"/>
      <c r="N430" s="113"/>
    </row>
    <row r="431" spans="1:14" ht="41.25" customHeight="1">
      <c r="A431" s="108"/>
      <c r="B431" s="351" t="s">
        <v>259</v>
      </c>
      <c r="C431" s="78" t="s">
        <v>98</v>
      </c>
      <c r="D431" s="18"/>
      <c r="E431" s="146">
        <f t="shared" si="66"/>
        <v>53.09845</v>
      </c>
      <c r="F431" s="146"/>
      <c r="G431" s="297"/>
      <c r="H431" s="297"/>
      <c r="I431" s="297"/>
      <c r="J431" s="265">
        <f>11.09845+42</f>
        <v>53.09845</v>
      </c>
      <c r="K431" s="146"/>
      <c r="L431" s="315"/>
      <c r="M431" s="112"/>
      <c r="N431" s="113"/>
    </row>
    <row r="432" spans="1:14" ht="41.25" customHeight="1">
      <c r="A432" s="108"/>
      <c r="B432" s="351" t="s">
        <v>260</v>
      </c>
      <c r="C432" s="78" t="s">
        <v>99</v>
      </c>
      <c r="D432" s="18"/>
      <c r="E432" s="146">
        <f t="shared" si="66"/>
        <v>251.78773</v>
      </c>
      <c r="F432" s="146"/>
      <c r="G432" s="146"/>
      <c r="H432" s="146"/>
      <c r="I432" s="146"/>
      <c r="J432" s="265">
        <v>251.78773</v>
      </c>
      <c r="K432" s="146"/>
      <c r="L432" s="315"/>
      <c r="M432" s="112"/>
      <c r="N432" s="113"/>
    </row>
    <row r="433" spans="1:14" ht="41.25" customHeight="1">
      <c r="A433" s="108"/>
      <c r="B433" s="351" t="s">
        <v>261</v>
      </c>
      <c r="C433" s="78" t="s">
        <v>99</v>
      </c>
      <c r="D433" s="18"/>
      <c r="E433" s="146">
        <f t="shared" si="66"/>
        <v>187.36938</v>
      </c>
      <c r="F433" s="146"/>
      <c r="G433" s="146"/>
      <c r="H433" s="146"/>
      <c r="I433" s="146"/>
      <c r="J433" s="265">
        <v>187.36938</v>
      </c>
      <c r="K433" s="146"/>
      <c r="L433" s="315"/>
      <c r="M433" s="112"/>
      <c r="N433" s="113"/>
    </row>
    <row r="434" spans="1:14" ht="41.25" customHeight="1">
      <c r="A434" s="108"/>
      <c r="B434" s="351" t="s">
        <v>262</v>
      </c>
      <c r="C434" s="78" t="s">
        <v>99</v>
      </c>
      <c r="D434" s="18"/>
      <c r="E434" s="146">
        <f t="shared" si="66"/>
        <v>12.63289</v>
      </c>
      <c r="F434" s="146"/>
      <c r="G434" s="146"/>
      <c r="H434" s="146"/>
      <c r="I434" s="146"/>
      <c r="J434" s="265">
        <v>12.63289</v>
      </c>
      <c r="K434" s="146"/>
      <c r="L434" s="315"/>
      <c r="M434" s="112"/>
      <c r="N434" s="113"/>
    </row>
    <row r="435" spans="1:14" ht="46.5" customHeight="1">
      <c r="A435" s="108"/>
      <c r="B435" s="352" t="s">
        <v>263</v>
      </c>
      <c r="C435" s="78" t="s">
        <v>99</v>
      </c>
      <c r="D435" s="18"/>
      <c r="E435" s="146">
        <f t="shared" si="66"/>
        <v>50</v>
      </c>
      <c r="F435" s="146"/>
      <c r="G435" s="146"/>
      <c r="H435" s="146"/>
      <c r="I435" s="146"/>
      <c r="J435" s="167">
        <v>50</v>
      </c>
      <c r="K435" s="146"/>
      <c r="L435" s="315"/>
      <c r="M435" s="112"/>
      <c r="N435" s="113"/>
    </row>
    <row r="436" spans="1:14" ht="41.25" customHeight="1">
      <c r="A436" s="108"/>
      <c r="B436" s="348" t="s">
        <v>264</v>
      </c>
      <c r="C436" s="353" t="s">
        <v>97</v>
      </c>
      <c r="D436" s="128"/>
      <c r="E436" s="304">
        <f aca="true" t="shared" si="67" ref="E436:E450">F436+G436+J436+K436+I436</f>
        <v>120</v>
      </c>
      <c r="F436" s="304"/>
      <c r="G436" s="304"/>
      <c r="H436" s="304"/>
      <c r="I436" s="304"/>
      <c r="J436" s="21">
        <v>120</v>
      </c>
      <c r="K436" s="146"/>
      <c r="L436" s="354" t="s">
        <v>265</v>
      </c>
      <c r="M436" s="112"/>
      <c r="N436" s="113"/>
    </row>
    <row r="437" spans="1:14" ht="41.25" customHeight="1">
      <c r="A437" s="108"/>
      <c r="B437" s="348" t="s">
        <v>266</v>
      </c>
      <c r="C437" s="259" t="s">
        <v>97</v>
      </c>
      <c r="D437" s="18"/>
      <c r="E437" s="146">
        <f t="shared" si="67"/>
        <v>221.93</v>
      </c>
      <c r="F437" s="146"/>
      <c r="G437" s="146"/>
      <c r="H437" s="146"/>
      <c r="I437" s="146"/>
      <c r="J437" s="21">
        <v>221.93</v>
      </c>
      <c r="K437" s="146"/>
      <c r="L437" s="354"/>
      <c r="M437" s="112"/>
      <c r="N437" s="113"/>
    </row>
    <row r="438" spans="1:14" ht="73.5" customHeight="1">
      <c r="A438" s="108"/>
      <c r="B438" s="348" t="s">
        <v>267</v>
      </c>
      <c r="C438" s="355" t="s">
        <v>98</v>
      </c>
      <c r="D438" s="15"/>
      <c r="E438" s="356">
        <f t="shared" si="67"/>
        <v>461.39209</v>
      </c>
      <c r="F438" s="356"/>
      <c r="G438" s="356"/>
      <c r="H438" s="356"/>
      <c r="I438" s="356">
        <v>401.41112</v>
      </c>
      <c r="J438" s="39">
        <v>59.98097</v>
      </c>
      <c r="K438" s="146"/>
      <c r="L438" s="354"/>
      <c r="M438" s="112"/>
      <c r="N438" s="113"/>
    </row>
    <row r="439" spans="1:14" ht="41.25" customHeight="1">
      <c r="A439" s="108"/>
      <c r="B439" s="348" t="s">
        <v>223</v>
      </c>
      <c r="C439" s="259" t="s">
        <v>98</v>
      </c>
      <c r="D439" s="18"/>
      <c r="E439" s="146">
        <f t="shared" si="67"/>
        <v>786.21828</v>
      </c>
      <c r="F439" s="146"/>
      <c r="G439" s="146"/>
      <c r="H439" s="146"/>
      <c r="I439" s="146"/>
      <c r="J439" s="21">
        <v>786.21828</v>
      </c>
      <c r="K439" s="146"/>
      <c r="L439" s="354"/>
      <c r="M439" s="112"/>
      <c r="N439" s="113"/>
    </row>
    <row r="440" spans="1:14" ht="41.25" customHeight="1">
      <c r="A440" s="108"/>
      <c r="B440" s="348" t="s">
        <v>268</v>
      </c>
      <c r="C440" s="259" t="s">
        <v>98</v>
      </c>
      <c r="D440" s="18"/>
      <c r="E440" s="146">
        <f t="shared" si="67"/>
        <v>365.84479</v>
      </c>
      <c r="F440" s="146"/>
      <c r="G440" s="146"/>
      <c r="H440" s="146"/>
      <c r="I440" s="146"/>
      <c r="J440" s="21">
        <v>365.84479</v>
      </c>
      <c r="K440" s="146"/>
      <c r="L440" s="354"/>
      <c r="M440" s="112"/>
      <c r="N440" s="113"/>
    </row>
    <row r="441" spans="1:14" ht="35.25" customHeight="1">
      <c r="A441" s="108"/>
      <c r="B441" s="348" t="s">
        <v>269</v>
      </c>
      <c r="C441" s="349" t="s">
        <v>99</v>
      </c>
      <c r="D441" s="18"/>
      <c r="E441" s="146">
        <f t="shared" si="67"/>
        <v>931.86792</v>
      </c>
      <c r="F441" s="146"/>
      <c r="G441" s="146"/>
      <c r="H441" s="146"/>
      <c r="I441" s="146"/>
      <c r="J441" s="21">
        <v>931.86792</v>
      </c>
      <c r="K441" s="146"/>
      <c r="L441" s="354"/>
      <c r="M441" s="112"/>
      <c r="N441" s="113"/>
    </row>
    <row r="442" spans="1:14" ht="41.25" customHeight="1">
      <c r="A442" s="108"/>
      <c r="B442" s="348" t="s">
        <v>270</v>
      </c>
      <c r="C442" s="49" t="s">
        <v>27</v>
      </c>
      <c r="D442" s="18"/>
      <c r="E442" s="146">
        <f t="shared" si="67"/>
        <v>1019.173</v>
      </c>
      <c r="F442" s="146"/>
      <c r="G442" s="146"/>
      <c r="H442" s="146"/>
      <c r="I442" s="146">
        <v>886.68051</v>
      </c>
      <c r="J442" s="21">
        <v>132.49249</v>
      </c>
      <c r="K442" s="146"/>
      <c r="L442" s="354"/>
      <c r="M442" s="112"/>
      <c r="N442" s="113"/>
    </row>
    <row r="443" spans="1:14" ht="32.25" customHeight="1">
      <c r="A443" s="108"/>
      <c r="B443" s="348" t="s">
        <v>271</v>
      </c>
      <c r="C443" s="49" t="s">
        <v>27</v>
      </c>
      <c r="D443" s="18"/>
      <c r="E443" s="146">
        <f t="shared" si="67"/>
        <v>503.282</v>
      </c>
      <c r="F443" s="146"/>
      <c r="G443" s="146"/>
      <c r="H443" s="146"/>
      <c r="I443" s="146"/>
      <c r="J443" s="21">
        <v>503.282</v>
      </c>
      <c r="K443" s="146"/>
      <c r="L443" s="354"/>
      <c r="M443" s="112"/>
      <c r="N443" s="113"/>
    </row>
    <row r="444" spans="1:14" ht="48" customHeight="1">
      <c r="A444" s="108"/>
      <c r="B444" s="348" t="s">
        <v>272</v>
      </c>
      <c r="C444" s="49" t="s">
        <v>26</v>
      </c>
      <c r="D444" s="18"/>
      <c r="E444" s="146">
        <f t="shared" si="67"/>
        <v>343.36163</v>
      </c>
      <c r="F444" s="146"/>
      <c r="G444" s="146"/>
      <c r="H444" s="146"/>
      <c r="I444" s="146"/>
      <c r="J444" s="21">
        <v>343.36163</v>
      </c>
      <c r="K444" s="146"/>
      <c r="L444" s="354"/>
      <c r="M444" s="112"/>
      <c r="N444" s="113"/>
    </row>
    <row r="445" spans="1:14" ht="41.25" customHeight="1">
      <c r="A445" s="108"/>
      <c r="B445" s="348" t="s">
        <v>273</v>
      </c>
      <c r="C445" s="49" t="s">
        <v>26</v>
      </c>
      <c r="D445" s="59"/>
      <c r="E445" s="146">
        <f t="shared" si="67"/>
        <v>495.98281</v>
      </c>
      <c r="F445" s="146"/>
      <c r="G445" s="146"/>
      <c r="H445" s="146"/>
      <c r="I445" s="146"/>
      <c r="J445" s="21">
        <v>495.98281</v>
      </c>
      <c r="K445" s="146"/>
      <c r="L445" s="354"/>
      <c r="M445" s="112"/>
      <c r="N445" s="113"/>
    </row>
    <row r="446" spans="1:14" ht="41.25" customHeight="1">
      <c r="A446" s="108"/>
      <c r="B446" s="348" t="s">
        <v>274</v>
      </c>
      <c r="C446" s="49" t="s">
        <v>26</v>
      </c>
      <c r="D446" s="59"/>
      <c r="E446" s="146">
        <f t="shared" si="67"/>
        <v>95</v>
      </c>
      <c r="F446" s="146"/>
      <c r="G446" s="146"/>
      <c r="H446" s="146"/>
      <c r="I446" s="146"/>
      <c r="J446" s="21">
        <v>95</v>
      </c>
      <c r="K446" s="146"/>
      <c r="L446" s="354"/>
      <c r="M446" s="112"/>
      <c r="N446" s="113"/>
    </row>
    <row r="447" spans="1:14" ht="41.25" customHeight="1">
      <c r="A447" s="108"/>
      <c r="B447" s="351" t="s">
        <v>275</v>
      </c>
      <c r="C447" s="78" t="s">
        <v>102</v>
      </c>
      <c r="D447" s="59"/>
      <c r="E447" s="146">
        <f t="shared" si="67"/>
        <v>577.51162</v>
      </c>
      <c r="F447" s="146"/>
      <c r="G447" s="146"/>
      <c r="H447" s="146"/>
      <c r="I447" s="146">
        <v>502.43511</v>
      </c>
      <c r="J447" s="21">
        <v>75.07651</v>
      </c>
      <c r="K447" s="146"/>
      <c r="L447" s="354"/>
      <c r="M447" s="112"/>
      <c r="N447" s="113"/>
    </row>
    <row r="448" spans="1:14" ht="41.25" customHeight="1">
      <c r="A448" s="108"/>
      <c r="B448" s="351" t="s">
        <v>276</v>
      </c>
      <c r="C448" s="78" t="s">
        <v>102</v>
      </c>
      <c r="D448" s="59"/>
      <c r="E448" s="146">
        <f t="shared" si="67"/>
        <v>399.95605</v>
      </c>
      <c r="F448" s="146"/>
      <c r="G448" s="146"/>
      <c r="H448" s="146"/>
      <c r="I448" s="146"/>
      <c r="J448" s="21">
        <v>399.95605</v>
      </c>
      <c r="K448" s="146"/>
      <c r="L448" s="354"/>
      <c r="M448" s="112"/>
      <c r="N448" s="113"/>
    </row>
    <row r="449" spans="1:14" ht="41.25" customHeight="1">
      <c r="A449" s="108"/>
      <c r="B449" s="351" t="s">
        <v>277</v>
      </c>
      <c r="C449" s="78" t="s">
        <v>102</v>
      </c>
      <c r="D449" s="59"/>
      <c r="E449" s="146">
        <f t="shared" si="67"/>
        <v>168</v>
      </c>
      <c r="F449" s="146"/>
      <c r="G449" s="146"/>
      <c r="H449" s="146"/>
      <c r="I449" s="146"/>
      <c r="J449" s="21">
        <v>168</v>
      </c>
      <c r="K449" s="146"/>
      <c r="L449" s="354"/>
      <c r="M449" s="112"/>
      <c r="N449" s="113"/>
    </row>
    <row r="450" spans="1:14" ht="41.25" customHeight="1">
      <c r="A450" s="108"/>
      <c r="B450" s="352" t="s">
        <v>278</v>
      </c>
      <c r="C450" s="357" t="s">
        <v>102</v>
      </c>
      <c r="D450" s="358"/>
      <c r="E450" s="359">
        <f t="shared" si="67"/>
        <v>393.5147</v>
      </c>
      <c r="F450" s="359"/>
      <c r="G450" s="359"/>
      <c r="H450" s="359"/>
      <c r="I450" s="359"/>
      <c r="J450" s="167">
        <v>393.5147</v>
      </c>
      <c r="K450" s="146"/>
      <c r="L450" s="354"/>
      <c r="M450" s="112"/>
      <c r="N450" s="113"/>
    </row>
    <row r="451" spans="1:14" ht="24" customHeight="1">
      <c r="A451" s="108"/>
      <c r="B451" s="360"/>
      <c r="C451" s="361"/>
      <c r="D451" s="18"/>
      <c r="E451" s="146"/>
      <c r="F451" s="146"/>
      <c r="G451" s="146"/>
      <c r="H451" s="146"/>
      <c r="I451" s="146"/>
      <c r="J451" s="21"/>
      <c r="K451" s="146"/>
      <c r="L451" s="338"/>
      <c r="M451" s="112"/>
      <c r="N451" s="113"/>
    </row>
    <row r="452" spans="1:14" ht="41.25" customHeight="1">
      <c r="A452" s="108"/>
      <c r="B452" s="362" t="s">
        <v>147</v>
      </c>
      <c r="C452" s="363"/>
      <c r="D452" s="258">
        <v>2024</v>
      </c>
      <c r="E452" s="301">
        <f>G452+J452</f>
        <v>6837.68</v>
      </c>
      <c r="F452" s="301">
        <f>F453</f>
        <v>0</v>
      </c>
      <c r="G452" s="109">
        <f>H452+I452</f>
        <v>0</v>
      </c>
      <c r="H452" s="301">
        <f>H453</f>
        <v>0</v>
      </c>
      <c r="I452" s="301">
        <f>I453+I454+I455+I456+I457+I462+I463+I464+I465+I466+I467+I468+I469+I470+I471+I472+I473+I474+I475+I476+I477+I478+I479+I481</f>
        <v>0</v>
      </c>
      <c r="J452" s="219">
        <f>J453+J454+J455+J456</f>
        <v>6837.68</v>
      </c>
      <c r="K452" s="302">
        <f>K453</f>
        <v>0</v>
      </c>
      <c r="L452" s="333"/>
      <c r="M452" s="112"/>
      <c r="N452" s="113"/>
    </row>
    <row r="453" spans="1:14" ht="41.25" customHeight="1">
      <c r="A453" s="108"/>
      <c r="B453" s="364"/>
      <c r="C453" s="49" t="s">
        <v>27</v>
      </c>
      <c r="D453" s="18"/>
      <c r="E453" s="304">
        <f aca="true" t="shared" si="68" ref="E453:E456">F453+G453+J453+K453</f>
        <v>5000</v>
      </c>
      <c r="F453" s="146"/>
      <c r="G453" s="146"/>
      <c r="H453" s="146"/>
      <c r="I453" s="146"/>
      <c r="J453" s="21">
        <v>5000</v>
      </c>
      <c r="K453" s="146"/>
      <c r="L453" s="365" t="s">
        <v>62</v>
      </c>
      <c r="M453" s="112"/>
      <c r="N453" s="113"/>
    </row>
    <row r="454" spans="1:14" ht="41.25" customHeight="1">
      <c r="A454" s="108"/>
      <c r="B454" s="112"/>
      <c r="C454" s="259" t="s">
        <v>97</v>
      </c>
      <c r="D454" s="18"/>
      <c r="E454" s="304">
        <f t="shared" si="68"/>
        <v>800.68</v>
      </c>
      <c r="F454" s="146"/>
      <c r="G454" s="146"/>
      <c r="H454" s="146"/>
      <c r="I454" s="146"/>
      <c r="J454" s="21">
        <v>800.68</v>
      </c>
      <c r="K454" s="146"/>
      <c r="L454" s="365"/>
      <c r="M454" s="112"/>
      <c r="N454" s="113"/>
    </row>
    <row r="455" spans="1:14" ht="41.25" customHeight="1">
      <c r="A455" s="108"/>
      <c r="B455" s="112"/>
      <c r="C455" s="259" t="s">
        <v>98</v>
      </c>
      <c r="D455" s="18"/>
      <c r="E455" s="304">
        <f t="shared" si="68"/>
        <v>900</v>
      </c>
      <c r="F455" s="146"/>
      <c r="G455" s="146"/>
      <c r="H455" s="146"/>
      <c r="I455" s="146"/>
      <c r="J455" s="21">
        <v>900</v>
      </c>
      <c r="K455" s="146"/>
      <c r="L455" s="365"/>
      <c r="M455" s="112"/>
      <c r="N455" s="113"/>
    </row>
    <row r="456" spans="1:14" ht="41.25" customHeight="1">
      <c r="A456" s="108"/>
      <c r="B456" s="112"/>
      <c r="C456" s="259" t="s">
        <v>99</v>
      </c>
      <c r="D456" s="18"/>
      <c r="E456" s="304">
        <f t="shared" si="68"/>
        <v>137</v>
      </c>
      <c r="F456" s="146"/>
      <c r="G456" s="146"/>
      <c r="H456" s="146"/>
      <c r="I456" s="146"/>
      <c r="J456" s="21">
        <v>137</v>
      </c>
      <c r="K456" s="146"/>
      <c r="L456" s="365"/>
      <c r="M456" s="112"/>
      <c r="N456" s="113"/>
    </row>
    <row r="457" spans="1:14" ht="27.75" customHeight="1">
      <c r="A457" s="108"/>
      <c r="B457" s="360"/>
      <c r="C457" s="78"/>
      <c r="D457" s="18"/>
      <c r="E457" s="146"/>
      <c r="F457" s="146"/>
      <c r="G457" s="146"/>
      <c r="H457" s="146"/>
      <c r="I457" s="146"/>
      <c r="J457" s="21"/>
      <c r="K457" s="146"/>
      <c r="L457" s="338"/>
      <c r="M457" s="112"/>
      <c r="N457" s="113"/>
    </row>
    <row r="458" spans="1:14" ht="41.25" customHeight="1">
      <c r="A458" s="108"/>
      <c r="B458" s="362" t="s">
        <v>147</v>
      </c>
      <c r="C458" s="363"/>
      <c r="D458" s="258">
        <v>2025</v>
      </c>
      <c r="E458" s="301">
        <f>G458+J458</f>
        <v>6948.45</v>
      </c>
      <c r="F458" s="301">
        <f>F459</f>
        <v>0</v>
      </c>
      <c r="G458" s="109">
        <f>H458+I458</f>
        <v>0</v>
      </c>
      <c r="H458" s="301">
        <f>H459</f>
        <v>0</v>
      </c>
      <c r="I458" s="301">
        <f>I459+I460+I461+I462+I463+I468+I469+I470+I471+I472+I473+I474+I475+I476+I477+I478+I479+I480+I481+I482+I483+I484+I485+I487</f>
        <v>0</v>
      </c>
      <c r="J458" s="219">
        <f>J459+J460+J461+J462</f>
        <v>6948.45</v>
      </c>
      <c r="K458" s="302">
        <f>K459</f>
        <v>0</v>
      </c>
      <c r="L458" s="333"/>
      <c r="M458" s="112"/>
      <c r="N458" s="113"/>
    </row>
    <row r="459" spans="1:14" ht="41.25" customHeight="1">
      <c r="A459" s="108"/>
      <c r="B459" s="364"/>
      <c r="C459" s="49" t="s">
        <v>27</v>
      </c>
      <c r="D459" s="18"/>
      <c r="E459" s="304">
        <f aca="true" t="shared" si="69" ref="E459:E462">F459+G459+J459+K459</f>
        <v>5000</v>
      </c>
      <c r="F459" s="146"/>
      <c r="G459" s="146"/>
      <c r="H459" s="146"/>
      <c r="I459" s="146"/>
      <c r="J459" s="21">
        <v>5000</v>
      </c>
      <c r="K459" s="146"/>
      <c r="L459" s="365" t="s">
        <v>62</v>
      </c>
      <c r="M459" s="112"/>
      <c r="N459" s="113"/>
    </row>
    <row r="460" spans="1:14" ht="41.25" customHeight="1">
      <c r="A460" s="108"/>
      <c r="B460" s="112"/>
      <c r="C460" s="259" t="s">
        <v>97</v>
      </c>
      <c r="D460" s="18"/>
      <c r="E460" s="304">
        <f t="shared" si="69"/>
        <v>911.45</v>
      </c>
      <c r="F460" s="146"/>
      <c r="G460" s="146"/>
      <c r="H460" s="146"/>
      <c r="I460" s="146"/>
      <c r="J460" s="21">
        <v>911.45</v>
      </c>
      <c r="K460" s="146"/>
      <c r="L460" s="365"/>
      <c r="M460" s="112"/>
      <c r="N460" s="113"/>
    </row>
    <row r="461" spans="1:14" ht="41.25" customHeight="1">
      <c r="A461" s="108"/>
      <c r="B461" s="112"/>
      <c r="C461" s="259" t="s">
        <v>98</v>
      </c>
      <c r="D461" s="18"/>
      <c r="E461" s="304">
        <f t="shared" si="69"/>
        <v>900</v>
      </c>
      <c r="F461" s="146"/>
      <c r="G461" s="146"/>
      <c r="H461" s="146"/>
      <c r="I461" s="146"/>
      <c r="J461" s="21">
        <v>900</v>
      </c>
      <c r="K461" s="146"/>
      <c r="L461" s="365"/>
      <c r="M461" s="112"/>
      <c r="N461" s="113"/>
    </row>
    <row r="462" spans="1:14" ht="41.25" customHeight="1">
      <c r="A462" s="108"/>
      <c r="B462" s="112"/>
      <c r="C462" s="259" t="s">
        <v>99</v>
      </c>
      <c r="D462" s="18"/>
      <c r="E462" s="304">
        <f t="shared" si="69"/>
        <v>137</v>
      </c>
      <c r="F462" s="146"/>
      <c r="G462" s="146"/>
      <c r="H462" s="146"/>
      <c r="I462" s="146"/>
      <c r="J462" s="21">
        <v>137</v>
      </c>
      <c r="K462" s="146"/>
      <c r="L462" s="365"/>
      <c r="M462" s="112"/>
      <c r="N462" s="113"/>
    </row>
    <row r="463" spans="1:14" ht="21.75" customHeight="1" hidden="1">
      <c r="A463" s="108"/>
      <c r="B463" s="112"/>
      <c r="C463" s="78"/>
      <c r="D463" s="18"/>
      <c r="E463" s="146"/>
      <c r="F463" s="146"/>
      <c r="G463" s="146"/>
      <c r="H463" s="146"/>
      <c r="I463" s="146"/>
      <c r="J463" s="21"/>
      <c r="K463" s="146"/>
      <c r="L463" s="338"/>
      <c r="M463" s="112"/>
      <c r="N463" s="113"/>
    </row>
    <row r="464" spans="1:14" ht="24.75" customHeight="1">
      <c r="A464" s="108"/>
      <c r="B464" s="366" t="s">
        <v>147</v>
      </c>
      <c r="C464" s="367"/>
      <c r="D464" s="77">
        <v>2020</v>
      </c>
      <c r="E464" s="305">
        <f aca="true" t="shared" si="70" ref="E464:E473">F464+G464+J464+K464</f>
        <v>0</v>
      </c>
      <c r="F464" s="304"/>
      <c r="G464" s="304">
        <f aca="true" t="shared" si="71" ref="G464:G473">H464+I464</f>
        <v>0</v>
      </c>
      <c r="H464" s="304"/>
      <c r="I464" s="305"/>
      <c r="J464" s="62">
        <v>0</v>
      </c>
      <c r="K464" s="304">
        <v>0</v>
      </c>
      <c r="L464" s="368" t="s">
        <v>152</v>
      </c>
      <c r="M464" s="112"/>
      <c r="N464" s="113"/>
    </row>
    <row r="465" spans="1:14" ht="24.75" customHeight="1">
      <c r="A465" s="108"/>
      <c r="B465" s="366"/>
      <c r="C465" s="291"/>
      <c r="D465" s="59">
        <v>2021</v>
      </c>
      <c r="E465" s="109">
        <f t="shared" si="70"/>
        <v>0</v>
      </c>
      <c r="F465" s="146"/>
      <c r="G465" s="146">
        <f t="shared" si="71"/>
        <v>0</v>
      </c>
      <c r="H465" s="146"/>
      <c r="I465" s="109"/>
      <c r="J465" s="21">
        <v>0</v>
      </c>
      <c r="K465" s="146">
        <v>0</v>
      </c>
      <c r="L465" s="292" t="s">
        <v>152</v>
      </c>
      <c r="M465" s="112"/>
      <c r="N465" s="113"/>
    </row>
    <row r="466" spans="1:14" ht="24.75" customHeight="1">
      <c r="A466" s="108"/>
      <c r="B466" s="366"/>
      <c r="C466" s="291"/>
      <c r="D466" s="59">
        <v>2022</v>
      </c>
      <c r="E466" s="109">
        <f t="shared" si="70"/>
        <v>0</v>
      </c>
      <c r="F466" s="146"/>
      <c r="G466" s="146">
        <f t="shared" si="71"/>
        <v>0</v>
      </c>
      <c r="H466" s="146"/>
      <c r="I466" s="109"/>
      <c r="J466" s="21">
        <v>0</v>
      </c>
      <c r="K466" s="146">
        <v>0</v>
      </c>
      <c r="L466" s="292" t="s">
        <v>152</v>
      </c>
      <c r="M466" s="112"/>
      <c r="N466" s="113"/>
    </row>
    <row r="467" spans="1:14" ht="42" customHeight="1">
      <c r="A467" s="108" t="s">
        <v>279</v>
      </c>
      <c r="B467" s="366"/>
      <c r="C467" s="259" t="s">
        <v>98</v>
      </c>
      <c r="D467" s="18">
        <v>2017</v>
      </c>
      <c r="E467" s="109">
        <f t="shared" si="70"/>
        <v>6400.301</v>
      </c>
      <c r="F467" s="146"/>
      <c r="G467" s="146">
        <f t="shared" si="71"/>
        <v>0</v>
      </c>
      <c r="H467" s="146"/>
      <c r="I467" s="109"/>
      <c r="J467" s="21">
        <v>6400.301</v>
      </c>
      <c r="K467" s="146">
        <v>0</v>
      </c>
      <c r="L467" s="292" t="s">
        <v>152</v>
      </c>
      <c r="M467" s="112"/>
      <c r="N467" s="113"/>
    </row>
    <row r="468" spans="1:14" ht="42" customHeight="1">
      <c r="A468" s="108"/>
      <c r="B468" s="112" t="s">
        <v>280</v>
      </c>
      <c r="C468" s="259" t="s">
        <v>99</v>
      </c>
      <c r="D468" s="18"/>
      <c r="E468" s="109">
        <f t="shared" si="70"/>
        <v>1458.533</v>
      </c>
      <c r="F468" s="146"/>
      <c r="G468" s="146">
        <f t="shared" si="71"/>
        <v>0</v>
      </c>
      <c r="H468" s="146"/>
      <c r="I468" s="109"/>
      <c r="J468" s="21">
        <v>1458.533</v>
      </c>
      <c r="K468" s="146">
        <v>0</v>
      </c>
      <c r="L468" s="292" t="s">
        <v>62</v>
      </c>
      <c r="M468" s="112"/>
      <c r="N468" s="113"/>
    </row>
    <row r="469" spans="1:14" ht="38.25" customHeight="1">
      <c r="A469" s="108" t="s">
        <v>281</v>
      </c>
      <c r="B469" s="112"/>
      <c r="C469" s="49" t="s">
        <v>26</v>
      </c>
      <c r="D469" s="23">
        <v>2017</v>
      </c>
      <c r="E469" s="109">
        <f t="shared" si="70"/>
        <v>2177.928</v>
      </c>
      <c r="F469" s="146"/>
      <c r="G469" s="369">
        <f t="shared" si="71"/>
        <v>0</v>
      </c>
      <c r="H469" s="369"/>
      <c r="I469" s="370"/>
      <c r="J469" s="116">
        <v>2177.928</v>
      </c>
      <c r="K469" s="369">
        <v>0</v>
      </c>
      <c r="L469" s="292" t="s">
        <v>152</v>
      </c>
      <c r="M469" s="112"/>
      <c r="N469" s="113"/>
    </row>
    <row r="470" spans="1:14" ht="27.75" customHeight="1">
      <c r="A470" s="108"/>
      <c r="B470" s="112" t="s">
        <v>282</v>
      </c>
      <c r="C470" s="49" t="s">
        <v>27</v>
      </c>
      <c r="D470" s="23"/>
      <c r="E470" s="109">
        <f t="shared" si="70"/>
        <v>431.162</v>
      </c>
      <c r="F470" s="146"/>
      <c r="G470" s="369">
        <f t="shared" si="71"/>
        <v>0</v>
      </c>
      <c r="H470" s="369"/>
      <c r="I470" s="370"/>
      <c r="J470" s="116">
        <v>431.162</v>
      </c>
      <c r="K470" s="369">
        <v>0</v>
      </c>
      <c r="L470" s="292" t="s">
        <v>62</v>
      </c>
      <c r="M470" s="112"/>
      <c r="N470" s="113"/>
    </row>
    <row r="471" spans="1:14" ht="24.75" customHeight="1">
      <c r="A471" s="108" t="s">
        <v>283</v>
      </c>
      <c r="B471" s="112"/>
      <c r="C471" s="291"/>
      <c r="D471" s="371">
        <v>2017</v>
      </c>
      <c r="E471" s="109">
        <f t="shared" si="70"/>
        <v>4135.29</v>
      </c>
      <c r="F471" s="146"/>
      <c r="G471" s="369">
        <f t="shared" si="71"/>
        <v>0</v>
      </c>
      <c r="H471" s="369"/>
      <c r="I471" s="370"/>
      <c r="J471" s="116">
        <v>4135.29</v>
      </c>
      <c r="K471" s="369">
        <v>0</v>
      </c>
      <c r="L471" s="292" t="s">
        <v>152</v>
      </c>
      <c r="M471" s="112"/>
      <c r="N471" s="113"/>
    </row>
    <row r="472" spans="1:14" ht="24.75" customHeight="1">
      <c r="A472" s="108"/>
      <c r="B472" s="112" t="s">
        <v>284</v>
      </c>
      <c r="C472" s="291" t="s">
        <v>148</v>
      </c>
      <c r="D472" s="371"/>
      <c r="E472" s="109">
        <f t="shared" si="70"/>
        <v>10933.428</v>
      </c>
      <c r="F472" s="146"/>
      <c r="G472" s="369">
        <f t="shared" si="71"/>
        <v>0</v>
      </c>
      <c r="H472" s="369"/>
      <c r="I472" s="370"/>
      <c r="J472" s="116">
        <v>10933.428</v>
      </c>
      <c r="K472" s="369">
        <v>0</v>
      </c>
      <c r="L472" s="292"/>
      <c r="M472" s="112"/>
      <c r="N472" s="113"/>
    </row>
    <row r="473" spans="1:14" ht="31.5" customHeight="1">
      <c r="A473" s="108"/>
      <c r="B473" s="112"/>
      <c r="C473" s="291" t="s">
        <v>148</v>
      </c>
      <c r="D473" s="371"/>
      <c r="E473" s="296">
        <f t="shared" si="70"/>
        <v>897.642</v>
      </c>
      <c r="F473" s="297"/>
      <c r="G473" s="372">
        <f t="shared" si="71"/>
        <v>0</v>
      </c>
      <c r="H473" s="372"/>
      <c r="I473" s="373"/>
      <c r="J473" s="190">
        <v>897.642</v>
      </c>
      <c r="K473" s="372">
        <v>0</v>
      </c>
      <c r="L473" s="292" t="s">
        <v>62</v>
      </c>
      <c r="M473" s="112"/>
      <c r="N473" s="113"/>
    </row>
    <row r="474" spans="1:14" ht="24.75" customHeight="1">
      <c r="A474" s="35" t="s">
        <v>285</v>
      </c>
      <c r="B474" s="112"/>
      <c r="C474" s="374"/>
      <c r="D474" s="169">
        <v>2018</v>
      </c>
      <c r="E474" s="301">
        <f>F474+J474+K474</f>
        <v>1130.874</v>
      </c>
      <c r="F474" s="375">
        <f>SUM(F475:F481)</f>
        <v>0</v>
      </c>
      <c r="G474" s="375">
        <f>SUM(G475:G481)</f>
        <v>0</v>
      </c>
      <c r="H474" s="375">
        <f>SUM(H475:H481)</f>
        <v>0</v>
      </c>
      <c r="I474" s="375">
        <f>SUM(I475:I481)</f>
        <v>0</v>
      </c>
      <c r="J474" s="173">
        <f>SUM(J475:J481)</f>
        <v>1130.874</v>
      </c>
      <c r="K474" s="376">
        <f>SUM(K475:K481)</f>
        <v>0</v>
      </c>
      <c r="L474" s="377"/>
      <c r="M474" s="148" t="s">
        <v>286</v>
      </c>
      <c r="N474" s="149"/>
    </row>
    <row r="475" spans="1:14" ht="24.75" customHeight="1">
      <c r="A475" s="35"/>
      <c r="B475" s="378" t="s">
        <v>287</v>
      </c>
      <c r="C475" s="379"/>
      <c r="D475" s="380"/>
      <c r="E475" s="304">
        <f aca="true" t="shared" si="72" ref="E475:E481">F475+G475+J475+K475</f>
        <v>0</v>
      </c>
      <c r="F475" s="381"/>
      <c r="G475" s="382">
        <f aca="true" t="shared" si="73" ref="G475:G481">H475+I475</f>
        <v>0</v>
      </c>
      <c r="H475" s="383"/>
      <c r="I475" s="382">
        <v>0</v>
      </c>
      <c r="J475" s="177">
        <v>0</v>
      </c>
      <c r="K475" s="383"/>
      <c r="L475" s="384"/>
      <c r="M475" s="148"/>
      <c r="N475" s="149"/>
    </row>
    <row r="476" spans="1:14" ht="42" customHeight="1">
      <c r="A476" s="35"/>
      <c r="B476" s="378"/>
      <c r="C476" s="294" t="s">
        <v>153</v>
      </c>
      <c r="D476" s="23"/>
      <c r="E476" s="146">
        <f t="shared" si="72"/>
        <v>32.401</v>
      </c>
      <c r="F476" s="385"/>
      <c r="G476" s="369">
        <f t="shared" si="73"/>
        <v>0</v>
      </c>
      <c r="H476" s="369"/>
      <c r="I476" s="370"/>
      <c r="J476" s="21">
        <f>24+9.98-1.579</f>
        <v>32.401</v>
      </c>
      <c r="K476" s="369"/>
      <c r="L476" s="56" t="s">
        <v>97</v>
      </c>
      <c r="M476" s="148"/>
      <c r="N476" s="149"/>
    </row>
    <row r="477" spans="1:14" ht="37.5" customHeight="1">
      <c r="A477" s="35"/>
      <c r="B477" s="378"/>
      <c r="C477" s="294" t="s">
        <v>154</v>
      </c>
      <c r="D477" s="23"/>
      <c r="E477" s="146">
        <f t="shared" si="72"/>
        <v>202.33000000000004</v>
      </c>
      <c r="F477" s="385"/>
      <c r="G477" s="369">
        <f t="shared" si="73"/>
        <v>0</v>
      </c>
      <c r="H477" s="369"/>
      <c r="I477" s="370"/>
      <c r="J477" s="21">
        <f>304.8-99.63174-2.83826</f>
        <v>202.33000000000004</v>
      </c>
      <c r="K477" s="369"/>
      <c r="L477" s="56" t="s">
        <v>98</v>
      </c>
      <c r="M477" s="148"/>
      <c r="N477" s="149"/>
    </row>
    <row r="478" spans="1:14" ht="37.5" customHeight="1">
      <c r="A478" s="35"/>
      <c r="B478" s="378"/>
      <c r="C478" s="294" t="s">
        <v>155</v>
      </c>
      <c r="D478" s="23"/>
      <c r="E478" s="146">
        <f t="shared" si="72"/>
        <v>193.929</v>
      </c>
      <c r="F478" s="385"/>
      <c r="G478" s="369">
        <f t="shared" si="73"/>
        <v>0</v>
      </c>
      <c r="H478" s="369"/>
      <c r="I478" s="370"/>
      <c r="J478" s="116">
        <f>138.5+55.429</f>
        <v>193.929</v>
      </c>
      <c r="K478" s="369"/>
      <c r="L478" s="111" t="s">
        <v>155</v>
      </c>
      <c r="M478" s="148"/>
      <c r="N478" s="149"/>
    </row>
    <row r="479" spans="1:14" ht="24.75" customHeight="1">
      <c r="A479" s="35"/>
      <c r="B479" s="378"/>
      <c r="C479" s="379"/>
      <c r="D479" s="23"/>
      <c r="E479" s="146">
        <f t="shared" si="72"/>
        <v>522.2139999999999</v>
      </c>
      <c r="F479" s="385"/>
      <c r="G479" s="369">
        <f t="shared" si="73"/>
        <v>0</v>
      </c>
      <c r="H479" s="369"/>
      <c r="I479" s="370"/>
      <c r="J479" s="116">
        <f>874-134.152-30-249.634+62</f>
        <v>522.2139999999999</v>
      </c>
      <c r="K479" s="369"/>
      <c r="L479" s="48" t="s">
        <v>26</v>
      </c>
      <c r="M479" s="148"/>
      <c r="N479" s="149"/>
    </row>
    <row r="480" spans="1:14" ht="24.75" customHeight="1">
      <c r="A480" s="35"/>
      <c r="B480" s="378"/>
      <c r="C480" s="379"/>
      <c r="D480" s="23"/>
      <c r="E480" s="146">
        <f t="shared" si="72"/>
        <v>40</v>
      </c>
      <c r="F480" s="385"/>
      <c r="G480" s="369">
        <f t="shared" si="73"/>
        <v>0</v>
      </c>
      <c r="H480" s="369"/>
      <c r="I480" s="370"/>
      <c r="J480" s="116">
        <f>100-60</f>
        <v>40</v>
      </c>
      <c r="K480" s="369"/>
      <c r="L480" s="48" t="s">
        <v>27</v>
      </c>
      <c r="M480" s="148"/>
      <c r="N480" s="149"/>
    </row>
    <row r="481" spans="1:14" ht="24.75" customHeight="1">
      <c r="A481" s="35"/>
      <c r="B481" s="378"/>
      <c r="C481" s="386"/>
      <c r="D481" s="371"/>
      <c r="E481" s="297">
        <f t="shared" si="72"/>
        <v>140</v>
      </c>
      <c r="F481" s="387"/>
      <c r="G481" s="372">
        <f t="shared" si="73"/>
        <v>0</v>
      </c>
      <c r="H481" s="372"/>
      <c r="I481" s="373"/>
      <c r="J481" s="190">
        <f>165-25</f>
        <v>140</v>
      </c>
      <c r="K481" s="372"/>
      <c r="L481" s="168" t="s">
        <v>102</v>
      </c>
      <c r="M481" s="148"/>
      <c r="N481" s="149"/>
    </row>
    <row r="482" spans="1:14" ht="26.25" customHeight="1">
      <c r="A482" s="35"/>
      <c r="B482" s="378"/>
      <c r="C482" s="332"/>
      <c r="D482" s="169">
        <v>2019</v>
      </c>
      <c r="E482" s="375">
        <f>SUM(E483:E484)</f>
        <v>195.01735000000002</v>
      </c>
      <c r="F482" s="375">
        <f>SUM(F483:F484)</f>
        <v>0</v>
      </c>
      <c r="G482" s="375">
        <f>SUM(G483:G484)</f>
        <v>0</v>
      </c>
      <c r="H482" s="375">
        <f>SUM(H483:H484)</f>
        <v>0</v>
      </c>
      <c r="I482" s="375">
        <f>SUM(I483:I484)</f>
        <v>0</v>
      </c>
      <c r="J482" s="173">
        <f>SUM(J483:J484)</f>
        <v>195.01735000000002</v>
      </c>
      <c r="K482" s="376">
        <f>SUM(K483:K484)</f>
        <v>0</v>
      </c>
      <c r="L482" s="388"/>
      <c r="M482" s="112"/>
      <c r="N482" s="113"/>
    </row>
    <row r="483" spans="1:14" ht="33" customHeight="1">
      <c r="A483" s="35"/>
      <c r="B483" s="378"/>
      <c r="C483" s="259" t="s">
        <v>99</v>
      </c>
      <c r="D483" s="380">
        <v>2019</v>
      </c>
      <c r="E483" s="382">
        <f aca="true" t="shared" si="74" ref="E483:E484">F483+G483+J483</f>
        <v>126.36635000000001</v>
      </c>
      <c r="F483" s="382"/>
      <c r="G483" s="382">
        <f aca="true" t="shared" si="75" ref="G483:G484">H483+I483</f>
        <v>0</v>
      </c>
      <c r="H483" s="382"/>
      <c r="I483" s="382"/>
      <c r="J483" s="177">
        <f>400-273.63365</f>
        <v>126.36635000000001</v>
      </c>
      <c r="K483" s="383"/>
      <c r="L483" s="56" t="s">
        <v>99</v>
      </c>
      <c r="M483" s="112"/>
      <c r="N483" s="113"/>
    </row>
    <row r="484" spans="1:14" ht="33" customHeight="1">
      <c r="A484" s="35"/>
      <c r="B484" s="378"/>
      <c r="C484" s="49" t="s">
        <v>26</v>
      </c>
      <c r="D484" s="389">
        <v>2019</v>
      </c>
      <c r="E484" s="372">
        <f t="shared" si="74"/>
        <v>68.651</v>
      </c>
      <c r="F484" s="372"/>
      <c r="G484" s="372">
        <f t="shared" si="75"/>
        <v>0</v>
      </c>
      <c r="H484" s="372"/>
      <c r="I484" s="372"/>
      <c r="J484" s="190">
        <v>68.651</v>
      </c>
      <c r="K484" s="373"/>
      <c r="L484" s="48" t="s">
        <v>26</v>
      </c>
      <c r="M484" s="112"/>
      <c r="N484" s="113"/>
    </row>
    <row r="485" spans="1:14" ht="24.75" customHeight="1">
      <c r="A485" s="35"/>
      <c r="B485" s="378"/>
      <c r="C485" s="299"/>
      <c r="D485" s="224">
        <v>2020</v>
      </c>
      <c r="E485" s="301">
        <f aca="true" t="shared" si="76" ref="E485:E488">F485+G485+J485+K485</f>
        <v>303.52299999999997</v>
      </c>
      <c r="F485" s="301">
        <v>0</v>
      </c>
      <c r="G485" s="301">
        <v>0</v>
      </c>
      <c r="H485" s="301">
        <v>0</v>
      </c>
      <c r="I485" s="301">
        <v>0</v>
      </c>
      <c r="J485" s="219">
        <f>SUM(J486:J488)</f>
        <v>303.52299999999997</v>
      </c>
      <c r="K485" s="302">
        <v>0</v>
      </c>
      <c r="L485" s="390"/>
      <c r="M485" s="112"/>
      <c r="N485" s="113"/>
    </row>
    <row r="486" spans="1:14" ht="33" customHeight="1">
      <c r="A486" s="35"/>
      <c r="B486" s="378"/>
      <c r="C486" s="49" t="s">
        <v>26</v>
      </c>
      <c r="D486" s="391"/>
      <c r="E486" s="356">
        <f t="shared" si="76"/>
        <v>0</v>
      </c>
      <c r="F486" s="304"/>
      <c r="G486" s="304">
        <f aca="true" t="shared" si="77" ref="G486:G489">H486+I486</f>
        <v>0</v>
      </c>
      <c r="H486" s="304"/>
      <c r="I486" s="305"/>
      <c r="J486" s="62">
        <f>67.144-67.144</f>
        <v>0</v>
      </c>
      <c r="K486" s="304"/>
      <c r="L486" s="392" t="s">
        <v>152</v>
      </c>
      <c r="M486" s="112"/>
      <c r="N486" s="113"/>
    </row>
    <row r="487" spans="1:14" ht="38.25" customHeight="1">
      <c r="A487" s="35"/>
      <c r="B487" s="378"/>
      <c r="C487" s="259" t="s">
        <v>98</v>
      </c>
      <c r="D487" s="391"/>
      <c r="E487" s="304">
        <f t="shared" si="76"/>
        <v>248.093</v>
      </c>
      <c r="F487" s="304"/>
      <c r="G487" s="304">
        <f t="shared" si="77"/>
        <v>0</v>
      </c>
      <c r="H487" s="304"/>
      <c r="I487" s="305"/>
      <c r="J487" s="62">
        <f>250-1.907</f>
        <v>248.093</v>
      </c>
      <c r="K487" s="304"/>
      <c r="L487" s="56" t="s">
        <v>98</v>
      </c>
      <c r="M487" s="112"/>
      <c r="N487" s="113"/>
    </row>
    <row r="488" spans="1:14" ht="33.75" customHeight="1">
      <c r="A488" s="35"/>
      <c r="B488" s="378"/>
      <c r="C488" s="259" t="s">
        <v>99</v>
      </c>
      <c r="D488" s="371"/>
      <c r="E488" s="310">
        <f t="shared" si="76"/>
        <v>55.43</v>
      </c>
      <c r="F488" s="297"/>
      <c r="G488" s="310">
        <f t="shared" si="77"/>
        <v>0</v>
      </c>
      <c r="H488" s="297"/>
      <c r="I488" s="296"/>
      <c r="J488" s="265">
        <v>55.43</v>
      </c>
      <c r="K488" s="297"/>
      <c r="L488" s="56" t="s">
        <v>99</v>
      </c>
      <c r="M488" s="112"/>
      <c r="N488" s="113"/>
    </row>
    <row r="489" spans="1:14" ht="24.75" customHeight="1">
      <c r="A489" s="35"/>
      <c r="B489" s="378"/>
      <c r="C489" s="393"/>
      <c r="D489" s="224">
        <v>2021</v>
      </c>
      <c r="E489" s="301">
        <f>F489+J489+K489</f>
        <v>469.155</v>
      </c>
      <c r="F489" s="301">
        <v>0</v>
      </c>
      <c r="G489" s="301">
        <f t="shared" si="77"/>
        <v>0</v>
      </c>
      <c r="H489" s="301">
        <v>0</v>
      </c>
      <c r="I489" s="301">
        <v>0</v>
      </c>
      <c r="J489" s="219">
        <f>SUM(J490:J497)</f>
        <v>469.155</v>
      </c>
      <c r="K489" s="301">
        <v>0</v>
      </c>
      <c r="L489" s="394"/>
      <c r="M489" s="112"/>
      <c r="N489" s="113"/>
    </row>
    <row r="490" spans="1:14" ht="49.5" customHeight="1">
      <c r="A490" s="35"/>
      <c r="B490" s="118" t="s">
        <v>288</v>
      </c>
      <c r="C490" s="395" t="s">
        <v>97</v>
      </c>
      <c r="D490" s="231"/>
      <c r="E490" s="396">
        <f aca="true" t="shared" si="78" ref="E490:E498">F490+G490+J490+K490</f>
        <v>101.43</v>
      </c>
      <c r="F490" s="396"/>
      <c r="G490" s="396">
        <v>0</v>
      </c>
      <c r="H490" s="396"/>
      <c r="I490" s="396"/>
      <c r="J490" s="265">
        <f>80+3.43+18</f>
        <v>101.43</v>
      </c>
      <c r="K490" s="396"/>
      <c r="L490" s="397" t="s">
        <v>97</v>
      </c>
      <c r="M490" s="112"/>
      <c r="N490" s="113"/>
    </row>
    <row r="491" spans="1:14" ht="18.75" customHeight="1">
      <c r="A491" s="35"/>
      <c r="B491" s="118" t="s">
        <v>289</v>
      </c>
      <c r="C491" s="395"/>
      <c r="D491" s="231"/>
      <c r="E491" s="396">
        <f t="shared" si="78"/>
        <v>156.54899999999998</v>
      </c>
      <c r="F491" s="396"/>
      <c r="G491" s="396">
        <v>0</v>
      </c>
      <c r="H491" s="396"/>
      <c r="I491" s="398"/>
      <c r="J491" s="399">
        <f>169.081-12.532</f>
        <v>156.54899999999998</v>
      </c>
      <c r="K491" s="400"/>
      <c r="L491" s="397"/>
      <c r="M491" s="112"/>
      <c r="N491" s="113"/>
    </row>
    <row r="492" spans="1:14" ht="18.75" customHeight="1">
      <c r="A492" s="35"/>
      <c r="B492" s="374" t="s">
        <v>290</v>
      </c>
      <c r="C492" s="395"/>
      <c r="D492" s="231"/>
      <c r="E492" s="396">
        <f t="shared" si="78"/>
        <v>52</v>
      </c>
      <c r="F492" s="396"/>
      <c r="G492" s="396">
        <v>0</v>
      </c>
      <c r="H492" s="396"/>
      <c r="I492" s="396"/>
      <c r="J492" s="219">
        <f>70-18</f>
        <v>52</v>
      </c>
      <c r="K492" s="396"/>
      <c r="L492" s="397"/>
      <c r="M492" s="112"/>
      <c r="N492" s="113"/>
    </row>
    <row r="493" spans="1:14" ht="54" customHeight="1">
      <c r="A493" s="35"/>
      <c r="B493" s="401" t="s">
        <v>291</v>
      </c>
      <c r="C493" s="402" t="s">
        <v>26</v>
      </c>
      <c r="D493" s="231"/>
      <c r="E493" s="396">
        <f t="shared" si="78"/>
        <v>57.0724</v>
      </c>
      <c r="F493" s="398"/>
      <c r="G493" s="403"/>
      <c r="H493" s="400"/>
      <c r="I493" s="396"/>
      <c r="J493" s="21">
        <v>57.0724</v>
      </c>
      <c r="K493" s="396"/>
      <c r="L493" s="187" t="s">
        <v>26</v>
      </c>
      <c r="M493" s="112"/>
      <c r="N493" s="113"/>
    </row>
    <row r="494" spans="1:14" ht="34.5" customHeight="1">
      <c r="A494" s="35"/>
      <c r="B494" s="404" t="s">
        <v>292</v>
      </c>
      <c r="C494" s="402"/>
      <c r="D494" s="231"/>
      <c r="E494" s="396">
        <f t="shared" si="78"/>
        <v>50.0676</v>
      </c>
      <c r="F494" s="396"/>
      <c r="G494" s="396"/>
      <c r="H494" s="396"/>
      <c r="I494" s="396"/>
      <c r="J494" s="21">
        <v>50.0676</v>
      </c>
      <c r="K494" s="396"/>
      <c r="L494" s="187"/>
      <c r="M494" s="112"/>
      <c r="N494" s="113"/>
    </row>
    <row r="495" spans="1:14" ht="39" customHeight="1">
      <c r="A495" s="35"/>
      <c r="B495" s="374" t="s">
        <v>293</v>
      </c>
      <c r="C495" s="261" t="s">
        <v>102</v>
      </c>
      <c r="D495" s="231"/>
      <c r="E495" s="396">
        <f t="shared" si="78"/>
        <v>52.036</v>
      </c>
      <c r="F495" s="396"/>
      <c r="G495" s="396"/>
      <c r="H495" s="396"/>
      <c r="I495" s="396"/>
      <c r="J495" s="219">
        <v>52.036</v>
      </c>
      <c r="K495" s="396"/>
      <c r="L495" s="168" t="s">
        <v>102</v>
      </c>
      <c r="M495" s="112"/>
      <c r="N495" s="113"/>
    </row>
    <row r="496" spans="1:14" ht="18.75" customHeight="1">
      <c r="A496" s="35"/>
      <c r="B496" s="374"/>
      <c r="C496" s="405"/>
      <c r="D496" s="231"/>
      <c r="E496" s="396">
        <f t="shared" si="78"/>
        <v>0</v>
      </c>
      <c r="F496" s="396"/>
      <c r="G496" s="396"/>
      <c r="H496" s="396"/>
      <c r="I496" s="396"/>
      <c r="J496" s="219">
        <v>0</v>
      </c>
      <c r="K496" s="396"/>
      <c r="L496" s="406"/>
      <c r="M496" s="112"/>
      <c r="N496" s="113"/>
    </row>
    <row r="497" spans="1:14" ht="18.75" customHeight="1" hidden="1">
      <c r="A497" s="35"/>
      <c r="B497" s="374"/>
      <c r="C497" s="405"/>
      <c r="D497" s="231"/>
      <c r="E497" s="396">
        <f t="shared" si="78"/>
        <v>0</v>
      </c>
      <c r="F497" s="396"/>
      <c r="G497" s="396"/>
      <c r="H497" s="396"/>
      <c r="I497" s="396"/>
      <c r="J497" s="219">
        <v>0</v>
      </c>
      <c r="K497" s="396"/>
      <c r="L497" s="406"/>
      <c r="M497" s="112"/>
      <c r="N497" s="113"/>
    </row>
    <row r="498" spans="1:14" ht="18.75" customHeight="1" hidden="1">
      <c r="A498" s="35"/>
      <c r="B498" s="374"/>
      <c r="C498" s="405"/>
      <c r="D498" s="231"/>
      <c r="E498" s="396">
        <f t="shared" si="78"/>
        <v>0</v>
      </c>
      <c r="F498" s="396"/>
      <c r="G498" s="396"/>
      <c r="H498" s="396"/>
      <c r="I498" s="396"/>
      <c r="J498" s="219">
        <v>0</v>
      </c>
      <c r="K498" s="396"/>
      <c r="L498" s="406"/>
      <c r="M498" s="112"/>
      <c r="N498" s="113"/>
    </row>
    <row r="499" spans="1:14" ht="24.75" customHeight="1">
      <c r="A499" s="35"/>
      <c r="B499" s="374"/>
      <c r="C499" s="332"/>
      <c r="D499" s="231">
        <v>2022</v>
      </c>
      <c r="E499" s="396">
        <f>F499+G499+K499</f>
        <v>0</v>
      </c>
      <c r="F499" s="396">
        <v>0</v>
      </c>
      <c r="G499" s="396">
        <f>H499+I499</f>
        <v>0</v>
      </c>
      <c r="H499" s="396">
        <v>0</v>
      </c>
      <c r="I499" s="396">
        <v>0</v>
      </c>
      <c r="J499" s="219">
        <v>0</v>
      </c>
      <c r="K499" s="396">
        <v>0</v>
      </c>
      <c r="L499" s="394"/>
      <c r="M499" s="112"/>
      <c r="N499" s="113"/>
    </row>
    <row r="500" spans="1:14" ht="28.5" customHeight="1">
      <c r="A500" s="108" t="s">
        <v>294</v>
      </c>
      <c r="B500" s="374"/>
      <c r="C500" s="407"/>
      <c r="D500" s="229">
        <v>2019</v>
      </c>
      <c r="E500" s="408">
        <f>E505+E506+E507+E508+E509+E510+E511+E512</f>
        <v>498</v>
      </c>
      <c r="F500" s="408">
        <f>F505+F506+F507+F508+F509+F510+F511+F512</f>
        <v>0</v>
      </c>
      <c r="G500" s="408">
        <f>G505+G506+G507+G508+G509+G510+G511+G512</f>
        <v>473.00000000000006</v>
      </c>
      <c r="H500" s="408">
        <f>H505+H506+H507+H508+H509+H510+H511+H512</f>
        <v>0</v>
      </c>
      <c r="I500" s="408">
        <f>I505+I506+I507+I508+I509+I510+I511+I512</f>
        <v>473.00000000000006</v>
      </c>
      <c r="J500" s="196">
        <f>J505+J506+J507+J508+J509+J510+J511+J512</f>
        <v>25</v>
      </c>
      <c r="K500" s="409">
        <f>K505+K506+K507+K508+K509+K510+K511+K512</f>
        <v>0</v>
      </c>
      <c r="L500" s="410"/>
      <c r="M500" s="112"/>
      <c r="N500" s="113"/>
    </row>
    <row r="501" spans="1:14" ht="33" customHeight="1">
      <c r="A501" s="108"/>
      <c r="B501" s="148" t="s">
        <v>295</v>
      </c>
      <c r="C501" s="367"/>
      <c r="D501" s="391">
        <v>2020</v>
      </c>
      <c r="E501" s="408">
        <v>0</v>
      </c>
      <c r="F501" s="408">
        <f>F506+F507+F508+F509+F510+F511+F512+F515</f>
        <v>0</v>
      </c>
      <c r="G501" s="408">
        <v>0</v>
      </c>
      <c r="H501" s="408">
        <f>H506+H507+H508+H509+H510+H511+H512+H515</f>
        <v>0</v>
      </c>
      <c r="I501" s="408">
        <v>0</v>
      </c>
      <c r="J501" s="196">
        <v>0</v>
      </c>
      <c r="K501" s="305">
        <v>0</v>
      </c>
      <c r="L501" s="384"/>
      <c r="M501" s="112"/>
      <c r="N501" s="113"/>
    </row>
    <row r="502" spans="1:14" ht="31.5" customHeight="1">
      <c r="A502" s="108"/>
      <c r="B502" s="148"/>
      <c r="C502" s="291"/>
      <c r="D502" s="23">
        <v>2021</v>
      </c>
      <c r="E502" s="408">
        <f>E519</f>
        <v>0</v>
      </c>
      <c r="F502" s="408">
        <f>F519</f>
        <v>0</v>
      </c>
      <c r="G502" s="408">
        <f>G519</f>
        <v>0</v>
      </c>
      <c r="H502" s="408">
        <f>H519</f>
        <v>0</v>
      </c>
      <c r="I502" s="408">
        <f>I519</f>
        <v>0</v>
      </c>
      <c r="J502" s="196">
        <f>J519</f>
        <v>0</v>
      </c>
      <c r="K502" s="109">
        <v>0</v>
      </c>
      <c r="L502" s="384"/>
      <c r="M502" s="112"/>
      <c r="N502" s="113"/>
    </row>
    <row r="503" spans="1:14" ht="25.5" customHeight="1">
      <c r="A503" s="108"/>
      <c r="B503" s="148"/>
      <c r="C503" s="291"/>
      <c r="D503" s="23">
        <v>2022</v>
      </c>
      <c r="E503" s="408">
        <f>E513+E514</f>
        <v>47</v>
      </c>
      <c r="F503" s="408">
        <v>0</v>
      </c>
      <c r="G503" s="408">
        <v>0</v>
      </c>
      <c r="H503" s="408">
        <v>0</v>
      </c>
      <c r="I503" s="408">
        <v>0</v>
      </c>
      <c r="J503" s="196">
        <f>J513+J514</f>
        <v>47</v>
      </c>
      <c r="K503" s="408">
        <v>0</v>
      </c>
      <c r="L503" s="384"/>
      <c r="M503" s="112"/>
      <c r="N503" s="113"/>
    </row>
    <row r="504" spans="1:14" ht="25.5" customHeight="1">
      <c r="A504" s="108"/>
      <c r="B504" s="148"/>
      <c r="C504" s="291"/>
      <c r="D504" s="23">
        <v>2023</v>
      </c>
      <c r="E504" s="408">
        <v>0</v>
      </c>
      <c r="F504" s="408">
        <v>0</v>
      </c>
      <c r="G504" s="408">
        <v>0</v>
      </c>
      <c r="H504" s="408">
        <v>0</v>
      </c>
      <c r="I504" s="408">
        <v>0</v>
      </c>
      <c r="J504" s="196">
        <v>0</v>
      </c>
      <c r="K504" s="109"/>
      <c r="L504" s="384"/>
      <c r="M504" s="112"/>
      <c r="N504" s="113"/>
    </row>
    <row r="505" spans="1:14" ht="43.5" customHeight="1">
      <c r="A505" s="108" t="s">
        <v>296</v>
      </c>
      <c r="B505" s="148"/>
      <c r="C505" s="49" t="s">
        <v>26</v>
      </c>
      <c r="D505" s="72">
        <v>2019</v>
      </c>
      <c r="E505" s="146">
        <f aca="true" t="shared" si="79" ref="E505:E514">F505+G505+J505+K505</f>
        <v>8.6</v>
      </c>
      <c r="F505" s="146"/>
      <c r="G505" s="146">
        <f aca="true" t="shared" si="80" ref="G505:G514">H505+I505</f>
        <v>0</v>
      </c>
      <c r="H505" s="146"/>
      <c r="I505" s="146">
        <v>0</v>
      </c>
      <c r="J505" s="21">
        <v>8.6</v>
      </c>
      <c r="K505" s="146">
        <v>0</v>
      </c>
      <c r="L505" s="48" t="s">
        <v>26</v>
      </c>
      <c r="M505" s="112"/>
      <c r="N505" s="113"/>
    </row>
    <row r="506" spans="1:14" ht="42.75" customHeight="1">
      <c r="A506" s="108"/>
      <c r="B506" s="334" t="s">
        <v>297</v>
      </c>
      <c r="C506" s="49" t="s">
        <v>27</v>
      </c>
      <c r="D506" s="72">
        <v>2019</v>
      </c>
      <c r="E506" s="146">
        <f t="shared" si="79"/>
        <v>15.4</v>
      </c>
      <c r="F506" s="146"/>
      <c r="G506" s="146">
        <f t="shared" si="80"/>
        <v>15.4</v>
      </c>
      <c r="H506" s="146"/>
      <c r="I506" s="146">
        <v>15.4</v>
      </c>
      <c r="J506" s="21">
        <v>0</v>
      </c>
      <c r="K506" s="146">
        <v>0</v>
      </c>
      <c r="L506" s="48" t="s">
        <v>27</v>
      </c>
      <c r="M506" s="112"/>
      <c r="N506" s="113"/>
    </row>
    <row r="507" spans="1:14" ht="66" customHeight="1">
      <c r="A507" s="108" t="s">
        <v>298</v>
      </c>
      <c r="B507" s="411" t="s">
        <v>299</v>
      </c>
      <c r="C507" s="49" t="s">
        <v>26</v>
      </c>
      <c r="D507" s="72">
        <v>2019</v>
      </c>
      <c r="E507" s="146">
        <f t="shared" si="79"/>
        <v>137.612</v>
      </c>
      <c r="F507" s="146"/>
      <c r="G507" s="146">
        <f t="shared" si="80"/>
        <v>137.612</v>
      </c>
      <c r="H507" s="146"/>
      <c r="I507" s="146">
        <v>137.612</v>
      </c>
      <c r="J507" s="21">
        <v>0</v>
      </c>
      <c r="K507" s="146">
        <v>0</v>
      </c>
      <c r="L507" s="48" t="s">
        <v>26</v>
      </c>
      <c r="M507" s="112" t="s">
        <v>300</v>
      </c>
      <c r="N507" s="113"/>
    </row>
    <row r="508" spans="1:14" ht="51" customHeight="1">
      <c r="A508" s="108" t="s">
        <v>301</v>
      </c>
      <c r="B508" s="412" t="s">
        <v>302</v>
      </c>
      <c r="C508" s="49" t="s">
        <v>26</v>
      </c>
      <c r="D508" s="72">
        <v>2019</v>
      </c>
      <c r="E508" s="146">
        <f t="shared" si="79"/>
        <v>131.693</v>
      </c>
      <c r="F508" s="146"/>
      <c r="G508" s="146">
        <f t="shared" si="80"/>
        <v>131.693</v>
      </c>
      <c r="H508" s="146"/>
      <c r="I508" s="146">
        <f>120.581+11.112</f>
        <v>131.693</v>
      </c>
      <c r="J508" s="21">
        <v>0</v>
      </c>
      <c r="K508" s="146">
        <v>0</v>
      </c>
      <c r="L508" s="48" t="s">
        <v>26</v>
      </c>
      <c r="M508" s="112" t="s">
        <v>303</v>
      </c>
      <c r="N508" s="113"/>
    </row>
    <row r="509" spans="1:14" ht="60.75" customHeight="1">
      <c r="A509" s="108" t="s">
        <v>304</v>
      </c>
      <c r="B509" s="412" t="s">
        <v>305</v>
      </c>
      <c r="C509" s="49" t="s">
        <v>26</v>
      </c>
      <c r="D509" s="72">
        <v>2019</v>
      </c>
      <c r="E509" s="146">
        <f t="shared" si="79"/>
        <v>44.018</v>
      </c>
      <c r="F509" s="146"/>
      <c r="G509" s="146">
        <f t="shared" si="80"/>
        <v>36.039</v>
      </c>
      <c r="H509" s="146"/>
      <c r="I509" s="146">
        <f>44.018-7.979</f>
        <v>36.039</v>
      </c>
      <c r="J509" s="21">
        <f>16.579-8.6</f>
        <v>7.979000000000001</v>
      </c>
      <c r="K509" s="146">
        <v>0</v>
      </c>
      <c r="L509" s="48" t="s">
        <v>26</v>
      </c>
      <c r="M509" s="112"/>
      <c r="N509" s="113"/>
    </row>
    <row r="510" spans="1:14" ht="66.75" customHeight="1">
      <c r="A510" s="108"/>
      <c r="B510" s="412" t="s">
        <v>306</v>
      </c>
      <c r="C510" s="49" t="s">
        <v>26</v>
      </c>
      <c r="D510" s="72">
        <v>2019</v>
      </c>
      <c r="E510" s="146">
        <f t="shared" si="79"/>
        <v>7.656000000000001</v>
      </c>
      <c r="F510" s="146"/>
      <c r="G510" s="146">
        <f t="shared" si="80"/>
        <v>7.656000000000001</v>
      </c>
      <c r="H510" s="146"/>
      <c r="I510" s="146">
        <f>18.768-11.112</f>
        <v>7.656000000000001</v>
      </c>
      <c r="J510" s="21"/>
      <c r="K510" s="146"/>
      <c r="L510" s="48" t="s">
        <v>26</v>
      </c>
      <c r="M510" s="112"/>
      <c r="N510" s="113"/>
    </row>
    <row r="511" spans="1:14" ht="57" customHeight="1">
      <c r="A511" s="108"/>
      <c r="B511" s="360" t="s">
        <v>307</v>
      </c>
      <c r="C511" s="49" t="s">
        <v>27</v>
      </c>
      <c r="D511" s="72">
        <v>2019</v>
      </c>
      <c r="E511" s="146">
        <f t="shared" si="79"/>
        <v>10.74</v>
      </c>
      <c r="F511" s="146"/>
      <c r="G511" s="146">
        <f t="shared" si="80"/>
        <v>10.74</v>
      </c>
      <c r="H511" s="146"/>
      <c r="I511" s="146">
        <v>10.74</v>
      </c>
      <c r="J511" s="21">
        <v>0</v>
      </c>
      <c r="K511" s="146">
        <v>0</v>
      </c>
      <c r="L511" s="48" t="s">
        <v>27</v>
      </c>
      <c r="M511" s="112" t="s">
        <v>308</v>
      </c>
      <c r="N511" s="113"/>
    </row>
    <row r="512" spans="1:14" ht="60.75" customHeight="1">
      <c r="A512" s="108" t="s">
        <v>309</v>
      </c>
      <c r="B512" s="112" t="s">
        <v>310</v>
      </c>
      <c r="C512" s="49" t="s">
        <v>27</v>
      </c>
      <c r="D512" s="72">
        <v>2019</v>
      </c>
      <c r="E512" s="146">
        <f t="shared" si="79"/>
        <v>142.281</v>
      </c>
      <c r="F512" s="146"/>
      <c r="G512" s="146">
        <f t="shared" si="80"/>
        <v>133.86</v>
      </c>
      <c r="H512" s="146"/>
      <c r="I512" s="146">
        <v>133.86</v>
      </c>
      <c r="J512" s="21">
        <v>8.421</v>
      </c>
      <c r="K512" s="146">
        <v>0</v>
      </c>
      <c r="L512" s="48" t="s">
        <v>27</v>
      </c>
      <c r="M512" s="112" t="s">
        <v>311</v>
      </c>
      <c r="N512" s="113"/>
    </row>
    <row r="513" spans="1:14" ht="45.75" customHeight="1">
      <c r="A513" s="108" t="s">
        <v>312</v>
      </c>
      <c r="B513" s="112" t="s">
        <v>313</v>
      </c>
      <c r="C513" s="49" t="s">
        <v>26</v>
      </c>
      <c r="D513" s="50">
        <v>2022</v>
      </c>
      <c r="E513" s="146">
        <f t="shared" si="79"/>
        <v>36</v>
      </c>
      <c r="F513" s="146"/>
      <c r="G513" s="146">
        <f t="shared" si="80"/>
        <v>0</v>
      </c>
      <c r="H513" s="146"/>
      <c r="I513" s="146"/>
      <c r="J513" s="21">
        <v>36</v>
      </c>
      <c r="K513" s="146">
        <v>0</v>
      </c>
      <c r="L513" s="49" t="s">
        <v>26</v>
      </c>
      <c r="M513" s="112"/>
      <c r="N513" s="113"/>
    </row>
    <row r="514" spans="1:14" ht="48" customHeight="1">
      <c r="A514" s="108"/>
      <c r="B514" s="112"/>
      <c r="C514" s="49" t="s">
        <v>27</v>
      </c>
      <c r="D514" s="50">
        <v>2022</v>
      </c>
      <c r="E514" s="146">
        <f t="shared" si="79"/>
        <v>11</v>
      </c>
      <c r="F514" s="146"/>
      <c r="G514" s="146">
        <f t="shared" si="80"/>
        <v>0</v>
      </c>
      <c r="H514" s="146"/>
      <c r="I514" s="146"/>
      <c r="J514" s="21">
        <v>11</v>
      </c>
      <c r="K514" s="146">
        <v>0</v>
      </c>
      <c r="L514" s="49" t="s">
        <v>27</v>
      </c>
      <c r="M514" s="112"/>
      <c r="N514" s="113"/>
    </row>
    <row r="515" spans="1:14" s="245" customFormat="1" ht="45.75" customHeight="1">
      <c r="A515" s="413" t="s">
        <v>314</v>
      </c>
      <c r="B515" s="112" t="s">
        <v>315</v>
      </c>
      <c r="C515" s="414"/>
      <c r="D515" s="18">
        <v>2019</v>
      </c>
      <c r="E515" s="109">
        <f>E516+E517</f>
        <v>1013.9999999999999</v>
      </c>
      <c r="F515" s="109">
        <f>F516+F517</f>
        <v>0</v>
      </c>
      <c r="G515" s="109">
        <f>G516+G517</f>
        <v>963</v>
      </c>
      <c r="H515" s="109">
        <f>H516+H517</f>
        <v>0</v>
      </c>
      <c r="I515" s="109">
        <f>I516+I517</f>
        <v>963</v>
      </c>
      <c r="J515" s="21">
        <f>J516+J517</f>
        <v>51</v>
      </c>
      <c r="K515" s="109">
        <f>K516+K517</f>
        <v>0</v>
      </c>
      <c r="L515" s="384"/>
      <c r="M515" s="415"/>
      <c r="N515" s="416"/>
    </row>
    <row r="516" spans="1:14" ht="64.5" customHeight="1">
      <c r="A516" s="108" t="s">
        <v>316</v>
      </c>
      <c r="B516" s="57" t="s">
        <v>317</v>
      </c>
      <c r="C516" s="49"/>
      <c r="D516" s="264">
        <v>2019</v>
      </c>
      <c r="E516" s="53">
        <f aca="true" t="shared" si="81" ref="E516:E518">F516+G516+J516+K516</f>
        <v>800.0321799999999</v>
      </c>
      <c r="F516" s="417"/>
      <c r="G516" s="53">
        <f aca="true" t="shared" si="82" ref="G516:G518">H516+I516</f>
        <v>760.03</v>
      </c>
      <c r="H516" s="418"/>
      <c r="I516" s="85">
        <f>765.502-5.472</f>
        <v>760.03</v>
      </c>
      <c r="J516" s="85">
        <f>40.2898-0.28762</f>
        <v>40.00218</v>
      </c>
      <c r="K516" s="417"/>
      <c r="L516" s="292" t="s">
        <v>152</v>
      </c>
      <c r="M516" s="291" t="s">
        <v>318</v>
      </c>
      <c r="N516" s="419"/>
    </row>
    <row r="517" spans="1:14" ht="66" customHeight="1">
      <c r="A517" s="420" t="s">
        <v>319</v>
      </c>
      <c r="B517" s="49" t="s">
        <v>317</v>
      </c>
      <c r="C517" s="421"/>
      <c r="D517" s="264">
        <v>2019</v>
      </c>
      <c r="E517" s="71">
        <f t="shared" si="81"/>
        <v>213.96782</v>
      </c>
      <c r="F517" s="422"/>
      <c r="G517" s="71">
        <f t="shared" si="82"/>
        <v>202.97</v>
      </c>
      <c r="H517" s="423"/>
      <c r="I517" s="298">
        <f>197.498+5.472</f>
        <v>202.97</v>
      </c>
      <c r="J517" s="298">
        <f>10.7102+0.28762</f>
        <v>10.99782</v>
      </c>
      <c r="K517" s="422"/>
      <c r="L517" s="424" t="s">
        <v>320</v>
      </c>
      <c r="M517" s="291"/>
      <c r="N517" s="419"/>
    </row>
    <row r="518" spans="1:14" ht="69" customHeight="1">
      <c r="A518" s="420" t="s">
        <v>321</v>
      </c>
      <c r="B518" s="378" t="s">
        <v>317</v>
      </c>
      <c r="C518" s="261" t="s">
        <v>102</v>
      </c>
      <c r="D518" s="262">
        <v>2023</v>
      </c>
      <c r="E518" s="71">
        <f t="shared" si="81"/>
        <v>312.53569</v>
      </c>
      <c r="F518" s="425">
        <f>F524+F525+F526+++++F529+F553+F554+F555+F556</f>
        <v>0</v>
      </c>
      <c r="G518" s="71">
        <f t="shared" si="82"/>
        <v>0</v>
      </c>
      <c r="H518" s="425">
        <f>H524+H525+H526+++++H529+H553+H554+H555+H556</f>
        <v>0</v>
      </c>
      <c r="I518" s="425">
        <f>I524+I525+I526+++++I529+I553+I554+I555+I556</f>
        <v>0</v>
      </c>
      <c r="J518" s="298">
        <v>312.53569</v>
      </c>
      <c r="K518" s="425">
        <f>K524+K525+K526+++++K529+K553+K554+K555+K556</f>
        <v>0</v>
      </c>
      <c r="L518" s="424"/>
      <c r="M518" s="291" t="s">
        <v>322</v>
      </c>
      <c r="N518" s="419"/>
    </row>
    <row r="519" spans="1:14" ht="39" customHeight="1">
      <c r="A519" s="426" t="s">
        <v>323</v>
      </c>
      <c r="B519" s="101" t="s">
        <v>324</v>
      </c>
      <c r="C519" s="427"/>
      <c r="D519" s="262">
        <v>2021</v>
      </c>
      <c r="E519" s="425">
        <f>E527</f>
        <v>0</v>
      </c>
      <c r="F519" s="425">
        <f>F527+F530+F531+F532+F533+F534</f>
        <v>0</v>
      </c>
      <c r="G519" s="425">
        <f>G527+G530+G531+G532+G533+G534</f>
        <v>0</v>
      </c>
      <c r="H519" s="425">
        <f>H527+H530+H531+H532+H533+H534</f>
        <v>0</v>
      </c>
      <c r="I519" s="425">
        <f>I527+I530+I531+I532+I533+I534</f>
        <v>0</v>
      </c>
      <c r="J519" s="298">
        <f>J527</f>
        <v>0</v>
      </c>
      <c r="K519" s="425">
        <f>K527+K530+K531+K532+K533+K534</f>
        <v>0</v>
      </c>
      <c r="L519" s="424"/>
      <c r="M519" s="291"/>
      <c r="N519" s="419"/>
    </row>
    <row r="520" spans="1:14" ht="34.5" customHeight="1">
      <c r="A520" s="428"/>
      <c r="B520" s="101"/>
      <c r="C520" s="429"/>
      <c r="D520" s="18">
        <v>2022</v>
      </c>
      <c r="E520" s="84">
        <f>E529+E530+E531+E532+E533+E534+E528</f>
        <v>3386.5563199999997</v>
      </c>
      <c r="F520" s="430">
        <v>0</v>
      </c>
      <c r="G520" s="430">
        <f>G529+G530+G531+G532+G533+G534</f>
        <v>0</v>
      </c>
      <c r="H520" s="430">
        <v>0</v>
      </c>
      <c r="I520" s="430">
        <v>0</v>
      </c>
      <c r="J520" s="85">
        <f>J529+J530+J531+J532+J533+J534+J528</f>
        <v>3386.5563199999997</v>
      </c>
      <c r="K520" s="430">
        <v>0</v>
      </c>
      <c r="L520" s="379"/>
      <c r="M520" s="291"/>
      <c r="N520" s="419"/>
    </row>
    <row r="521" spans="1:14" ht="34.5" customHeight="1">
      <c r="A521" s="428"/>
      <c r="B521" s="101"/>
      <c r="C521" s="101"/>
      <c r="D521" s="18">
        <v>2023</v>
      </c>
      <c r="E521" s="84">
        <f>E535+E536+E537+E538+E539+E540</f>
        <v>3173.9249099999997</v>
      </c>
      <c r="F521" s="84">
        <f>F535+F536+F537+F538+F539+F540</f>
        <v>0</v>
      </c>
      <c r="G521" s="84">
        <f>G535+G536+G537+G538+G539+G540</f>
        <v>0</v>
      </c>
      <c r="H521" s="84">
        <f>H535+H536+H537+H538+H539+H540</f>
        <v>0</v>
      </c>
      <c r="I521" s="84">
        <f>I535+I536+I537+I538+I539+I540</f>
        <v>0</v>
      </c>
      <c r="J521" s="85">
        <f>J535+J536+J537+J538+J539+J540</f>
        <v>3173.9249099999997</v>
      </c>
      <c r="K521" s="84">
        <f>K535+K536+K537+K538+K539+K540</f>
        <v>0</v>
      </c>
      <c r="L521" s="379"/>
      <c r="M521" s="291"/>
      <c r="N521" s="419"/>
    </row>
    <row r="522" spans="1:14" ht="34.5" customHeight="1">
      <c r="A522" s="428"/>
      <c r="B522" s="101"/>
      <c r="C522" s="101"/>
      <c r="D522" s="18">
        <v>2024</v>
      </c>
      <c r="E522" s="84">
        <f>E541+E542+E543+E544+E545+E546</f>
        <v>6299.12</v>
      </c>
      <c r="F522" s="84">
        <f>F541+F542+F543+F544+F545+F546</f>
        <v>0</v>
      </c>
      <c r="G522" s="84">
        <f>G541+G542+G543+G544+G545+G546</f>
        <v>0</v>
      </c>
      <c r="H522" s="84">
        <f>H541+H542+H543+H544+H545+H546</f>
        <v>0</v>
      </c>
      <c r="I522" s="84">
        <f>I541+I542+I543+I544+I545+I546</f>
        <v>0</v>
      </c>
      <c r="J522" s="85">
        <f>J541+J542+J543+J544+J545+J546</f>
        <v>6299.12</v>
      </c>
      <c r="K522" s="84">
        <f>K541+K542+K543+K544+K545+K546</f>
        <v>0</v>
      </c>
      <c r="L522" s="379"/>
      <c r="M522" s="291"/>
      <c r="N522" s="419"/>
    </row>
    <row r="523" spans="1:14" ht="34.5" customHeight="1">
      <c r="A523" s="428"/>
      <c r="B523" s="101"/>
      <c r="C523" s="101"/>
      <c r="D523" s="18">
        <v>2025</v>
      </c>
      <c r="E523" s="84">
        <f>E547+E548+E549+E550+E551+E552</f>
        <v>6299.12</v>
      </c>
      <c r="F523" s="84">
        <f>F547+F548+F549+F550+F551+F552</f>
        <v>0</v>
      </c>
      <c r="G523" s="84">
        <f>G547+G548+G549+G550+G551+G552</f>
        <v>0</v>
      </c>
      <c r="H523" s="84">
        <f>H547+H548+H549+H550+H551+H552</f>
        <v>0</v>
      </c>
      <c r="I523" s="84">
        <f>I547+I548+I549+I550+I551+I552</f>
        <v>0</v>
      </c>
      <c r="J523" s="85">
        <f>J547+J548+J549+J550+J551+J552</f>
        <v>6299.12</v>
      </c>
      <c r="K523" s="84">
        <f>K547+K548+K549+K550+K551+K552</f>
        <v>0</v>
      </c>
      <c r="L523" s="379"/>
      <c r="M523" s="291"/>
      <c r="N523" s="419"/>
    </row>
    <row r="524" spans="1:14" ht="24.75" customHeight="1">
      <c r="A524" s="431" t="s">
        <v>325</v>
      </c>
      <c r="B524" s="49" t="s">
        <v>326</v>
      </c>
      <c r="C524" s="432" t="s">
        <v>26</v>
      </c>
      <c r="D524" s="433">
        <v>2020</v>
      </c>
      <c r="E524" s="304">
        <v>0</v>
      </c>
      <c r="F524" s="304"/>
      <c r="G524" s="304">
        <v>0</v>
      </c>
      <c r="H524" s="304"/>
      <c r="I524" s="304"/>
      <c r="J524" s="434">
        <v>0</v>
      </c>
      <c r="K524" s="304"/>
      <c r="L524" s="327" t="s">
        <v>26</v>
      </c>
      <c r="M524" s="364"/>
      <c r="N524" s="113"/>
    </row>
    <row r="525" spans="1:14" ht="24.75" customHeight="1">
      <c r="A525" s="431"/>
      <c r="B525" s="49"/>
      <c r="C525" s="435" t="s">
        <v>27</v>
      </c>
      <c r="D525" s="50">
        <v>2020</v>
      </c>
      <c r="E525" s="146">
        <v>0</v>
      </c>
      <c r="F525" s="146"/>
      <c r="G525" s="146">
        <v>0</v>
      </c>
      <c r="H525" s="146"/>
      <c r="I525" s="146"/>
      <c r="J525" s="436">
        <v>0</v>
      </c>
      <c r="K525" s="146"/>
      <c r="L525" s="48" t="s">
        <v>27</v>
      </c>
      <c r="M525" s="112"/>
      <c r="N525" s="113"/>
    </row>
    <row r="526" spans="1:14" ht="41.25" customHeight="1">
      <c r="A526" s="431"/>
      <c r="B526" s="49"/>
      <c r="C526" s="342" t="s">
        <v>98</v>
      </c>
      <c r="D526" s="437">
        <v>2020</v>
      </c>
      <c r="E526" s="297">
        <v>0</v>
      </c>
      <c r="F526" s="297"/>
      <c r="G526" s="297">
        <v>0</v>
      </c>
      <c r="H526" s="297"/>
      <c r="I526" s="297"/>
      <c r="J526" s="438">
        <v>0</v>
      </c>
      <c r="K526" s="297"/>
      <c r="L526" s="208" t="s">
        <v>98</v>
      </c>
      <c r="M526" s="360"/>
      <c r="N526" s="113"/>
    </row>
    <row r="527" spans="1:14" ht="41.25" customHeight="1">
      <c r="A527" s="431"/>
      <c r="B527" s="49"/>
      <c r="C527" s="439" t="s">
        <v>97</v>
      </c>
      <c r="D527" s="72">
        <v>2021</v>
      </c>
      <c r="E527" s="146">
        <v>0</v>
      </c>
      <c r="F527" s="146"/>
      <c r="G527" s="146">
        <v>0</v>
      </c>
      <c r="H527" s="146"/>
      <c r="I527" s="146"/>
      <c r="J527" s="436">
        <v>0</v>
      </c>
      <c r="K527" s="146"/>
      <c r="L527" s="78" t="s">
        <v>97</v>
      </c>
      <c r="M527" s="112"/>
      <c r="N527" s="113"/>
    </row>
    <row r="528" spans="1:14" ht="41.25" customHeight="1">
      <c r="A528" s="431"/>
      <c r="B528" s="49"/>
      <c r="C528" s="439" t="s">
        <v>97</v>
      </c>
      <c r="D528" s="72">
        <v>2022</v>
      </c>
      <c r="E528" s="162">
        <f aca="true" t="shared" si="83" ref="E528:E552">F528+G528+J528+K528</f>
        <v>0</v>
      </c>
      <c r="F528" s="146"/>
      <c r="G528" s="146">
        <v>0</v>
      </c>
      <c r="H528" s="146"/>
      <c r="I528" s="146"/>
      <c r="J528" s="436"/>
      <c r="K528" s="146"/>
      <c r="L528" s="78" t="s">
        <v>97</v>
      </c>
      <c r="M528" s="112"/>
      <c r="N528" s="113"/>
    </row>
    <row r="529" spans="1:14" ht="42" customHeight="1">
      <c r="A529" s="440" t="s">
        <v>327</v>
      </c>
      <c r="B529" s="101" t="s">
        <v>328</v>
      </c>
      <c r="C529" s="342" t="s">
        <v>98</v>
      </c>
      <c r="D529" s="441">
        <v>2022</v>
      </c>
      <c r="E529" s="162">
        <f t="shared" si="83"/>
        <v>417.62346</v>
      </c>
      <c r="F529" s="442"/>
      <c r="G529" s="162">
        <f aca="true" t="shared" si="84" ref="G529:G552">H529+I529</f>
        <v>0</v>
      </c>
      <c r="H529" s="443"/>
      <c r="I529" s="444"/>
      <c r="J529" s="444">
        <v>417.62346</v>
      </c>
      <c r="K529" s="304"/>
      <c r="L529" s="134" t="s">
        <v>98</v>
      </c>
      <c r="M529" s="364"/>
      <c r="N529" s="113"/>
    </row>
    <row r="530" spans="1:14" ht="35.25" customHeight="1">
      <c r="A530" s="440"/>
      <c r="B530" s="101"/>
      <c r="C530" s="342" t="s">
        <v>99</v>
      </c>
      <c r="D530" s="72">
        <v>2022</v>
      </c>
      <c r="E530" s="53">
        <f t="shared" si="83"/>
        <v>421.0128</v>
      </c>
      <c r="F530" s="146"/>
      <c r="G530" s="53">
        <f t="shared" si="84"/>
        <v>0</v>
      </c>
      <c r="H530" s="146"/>
      <c r="I530" s="85"/>
      <c r="J530" s="85">
        <v>421.0128</v>
      </c>
      <c r="K530" s="146"/>
      <c r="L530" s="56" t="s">
        <v>99</v>
      </c>
      <c r="M530" s="112"/>
      <c r="N530" s="113"/>
    </row>
    <row r="531" spans="1:14" ht="37.5" customHeight="1">
      <c r="A531" s="440"/>
      <c r="B531" s="101"/>
      <c r="C531" s="445" t="s">
        <v>102</v>
      </c>
      <c r="D531" s="72">
        <v>2022</v>
      </c>
      <c r="E531" s="53">
        <f t="shared" si="83"/>
        <v>226.6</v>
      </c>
      <c r="F531" s="146"/>
      <c r="G531" s="53">
        <f t="shared" si="84"/>
        <v>0</v>
      </c>
      <c r="H531" s="146"/>
      <c r="I531" s="85"/>
      <c r="J531" s="85">
        <v>226.6</v>
      </c>
      <c r="K531" s="146"/>
      <c r="L531" s="168" t="s">
        <v>102</v>
      </c>
      <c r="M531" s="112"/>
      <c r="N531" s="113"/>
    </row>
    <row r="532" spans="1:14" ht="24.75" customHeight="1">
      <c r="A532" s="440"/>
      <c r="B532" s="101"/>
      <c r="C532" s="435" t="s">
        <v>26</v>
      </c>
      <c r="D532" s="72">
        <v>2022</v>
      </c>
      <c r="E532" s="53">
        <f t="shared" si="83"/>
        <v>616.68841</v>
      </c>
      <c r="F532" s="146"/>
      <c r="G532" s="53">
        <f t="shared" si="84"/>
        <v>0</v>
      </c>
      <c r="H532" s="146"/>
      <c r="I532" s="85"/>
      <c r="J532" s="85">
        <v>616.68841</v>
      </c>
      <c r="K532" s="146"/>
      <c r="L532" s="48" t="s">
        <v>26</v>
      </c>
      <c r="M532" s="112"/>
      <c r="N532" s="113"/>
    </row>
    <row r="533" spans="1:14" ht="24.75" customHeight="1">
      <c r="A533" s="440"/>
      <c r="B533" s="101"/>
      <c r="C533" s="435" t="s">
        <v>27</v>
      </c>
      <c r="D533" s="72">
        <v>2022</v>
      </c>
      <c r="E533" s="53">
        <f t="shared" si="83"/>
        <v>1280.22951</v>
      </c>
      <c r="F533" s="146"/>
      <c r="G533" s="53">
        <f t="shared" si="84"/>
        <v>0</v>
      </c>
      <c r="H533" s="146"/>
      <c r="I533" s="85"/>
      <c r="J533" s="85">
        <v>1280.22951</v>
      </c>
      <c r="K533" s="146"/>
      <c r="L533" s="48" t="s">
        <v>27</v>
      </c>
      <c r="M533" s="112"/>
      <c r="N533" s="113"/>
    </row>
    <row r="534" spans="1:14" ht="45.75" customHeight="1">
      <c r="A534" s="440"/>
      <c r="B534" s="101"/>
      <c r="C534" s="446" t="s">
        <v>97</v>
      </c>
      <c r="D534" s="264">
        <v>2022</v>
      </c>
      <c r="E534" s="71">
        <f t="shared" si="83"/>
        <v>424.40214</v>
      </c>
      <c r="F534" s="297"/>
      <c r="G534" s="71">
        <f t="shared" si="84"/>
        <v>0</v>
      </c>
      <c r="H534" s="297"/>
      <c r="I534" s="298"/>
      <c r="J534" s="298">
        <v>424.40214</v>
      </c>
      <c r="K534" s="297"/>
      <c r="L534" s="208" t="s">
        <v>97</v>
      </c>
      <c r="M534" s="360"/>
      <c r="N534" s="113"/>
    </row>
    <row r="535" spans="1:14" ht="63" customHeight="1">
      <c r="A535" s="440"/>
      <c r="B535" s="101"/>
      <c r="C535" s="447" t="s">
        <v>98</v>
      </c>
      <c r="D535" s="18">
        <v>2023</v>
      </c>
      <c r="E535" s="71">
        <f t="shared" si="83"/>
        <v>442.377</v>
      </c>
      <c r="F535" s="146"/>
      <c r="G535" s="71">
        <f t="shared" si="84"/>
        <v>0</v>
      </c>
      <c r="H535" s="146"/>
      <c r="I535" s="85"/>
      <c r="J535" s="85">
        <v>442.377</v>
      </c>
      <c r="K535" s="146"/>
      <c r="L535" s="78" t="s">
        <v>98</v>
      </c>
      <c r="M535" s="112"/>
      <c r="N535" s="113"/>
    </row>
    <row r="536" spans="1:14" ht="45.75" customHeight="1">
      <c r="A536" s="440"/>
      <c r="B536" s="101"/>
      <c r="C536" s="447" t="s">
        <v>99</v>
      </c>
      <c r="D536" s="18">
        <v>2023</v>
      </c>
      <c r="E536" s="71">
        <f t="shared" si="83"/>
        <v>0</v>
      </c>
      <c r="F536" s="146"/>
      <c r="G536" s="71">
        <f t="shared" si="84"/>
        <v>0</v>
      </c>
      <c r="H536" s="146"/>
      <c r="I536" s="85"/>
      <c r="J536" s="85">
        <v>0</v>
      </c>
      <c r="K536" s="146"/>
      <c r="L536" s="78" t="s">
        <v>99</v>
      </c>
      <c r="M536" s="112"/>
      <c r="N536" s="113"/>
    </row>
    <row r="537" spans="1:14" ht="45.75" customHeight="1">
      <c r="A537" s="440"/>
      <c r="B537" s="101"/>
      <c r="C537" s="447" t="s">
        <v>102</v>
      </c>
      <c r="D537" s="18">
        <v>2023</v>
      </c>
      <c r="E537" s="71">
        <f t="shared" si="83"/>
        <v>201</v>
      </c>
      <c r="F537" s="146"/>
      <c r="G537" s="71">
        <f t="shared" si="84"/>
        <v>0</v>
      </c>
      <c r="H537" s="146"/>
      <c r="I537" s="85"/>
      <c r="J537" s="448">
        <v>201</v>
      </c>
      <c r="K537" s="146"/>
      <c r="L537" s="78" t="s">
        <v>102</v>
      </c>
      <c r="M537" s="112"/>
      <c r="N537" s="113"/>
    </row>
    <row r="538" spans="1:14" ht="58.5" customHeight="1">
      <c r="A538" s="440"/>
      <c r="B538" s="101"/>
      <c r="C538" s="435" t="s">
        <v>26</v>
      </c>
      <c r="D538" s="18">
        <v>2023</v>
      </c>
      <c r="E538" s="71">
        <f t="shared" si="83"/>
        <v>651.9987</v>
      </c>
      <c r="F538" s="146"/>
      <c r="G538" s="71">
        <f t="shared" si="84"/>
        <v>0</v>
      </c>
      <c r="H538" s="146"/>
      <c r="I538" s="85"/>
      <c r="J538" s="85">
        <v>651.9987</v>
      </c>
      <c r="K538" s="146"/>
      <c r="L538" s="49" t="s">
        <v>26</v>
      </c>
      <c r="M538" s="112"/>
      <c r="N538" s="113"/>
    </row>
    <row r="539" spans="1:14" ht="59.25" customHeight="1">
      <c r="A539" s="440"/>
      <c r="B539" s="101"/>
      <c r="C539" s="435" t="s">
        <v>27</v>
      </c>
      <c r="D539" s="18">
        <v>2023</v>
      </c>
      <c r="E539" s="71">
        <f t="shared" si="83"/>
        <v>1878.54921</v>
      </c>
      <c r="F539" s="146"/>
      <c r="G539" s="71">
        <f t="shared" si="84"/>
        <v>0</v>
      </c>
      <c r="H539" s="146"/>
      <c r="I539" s="85"/>
      <c r="J539" s="85">
        <v>1878.54921</v>
      </c>
      <c r="K539" s="146"/>
      <c r="L539" s="49" t="s">
        <v>27</v>
      </c>
      <c r="M539" s="112"/>
      <c r="N539" s="113"/>
    </row>
    <row r="540" spans="1:14" ht="45.75" customHeight="1">
      <c r="A540" s="440"/>
      <c r="B540" s="101"/>
      <c r="C540" s="447" t="s">
        <v>97</v>
      </c>
      <c r="D540" s="18">
        <v>2023</v>
      </c>
      <c r="E540" s="71">
        <f t="shared" si="83"/>
        <v>0</v>
      </c>
      <c r="F540" s="146"/>
      <c r="G540" s="71">
        <f t="shared" si="84"/>
        <v>0</v>
      </c>
      <c r="H540" s="146"/>
      <c r="I540" s="85"/>
      <c r="J540" s="85">
        <v>0</v>
      </c>
      <c r="K540" s="146"/>
      <c r="L540" s="78" t="s">
        <v>97</v>
      </c>
      <c r="M540" s="112"/>
      <c r="N540" s="113"/>
    </row>
    <row r="541" spans="1:14" ht="45.75" customHeight="1">
      <c r="A541" s="440"/>
      <c r="B541" s="101"/>
      <c r="C541" s="447" t="s">
        <v>98</v>
      </c>
      <c r="D541" s="72">
        <v>2024</v>
      </c>
      <c r="E541" s="71">
        <f t="shared" si="83"/>
        <v>823.5</v>
      </c>
      <c r="F541" s="146"/>
      <c r="G541" s="71">
        <f t="shared" si="84"/>
        <v>0</v>
      </c>
      <c r="H541" s="146"/>
      <c r="I541" s="85"/>
      <c r="J541" s="85">
        <v>823.5</v>
      </c>
      <c r="K541" s="146"/>
      <c r="L541" s="78" t="s">
        <v>98</v>
      </c>
      <c r="M541" s="112"/>
      <c r="N541" s="113"/>
    </row>
    <row r="542" spans="1:14" ht="45.75" customHeight="1">
      <c r="A542" s="440"/>
      <c r="B542" s="101"/>
      <c r="C542" s="447" t="s">
        <v>99</v>
      </c>
      <c r="D542" s="72">
        <v>2024</v>
      </c>
      <c r="E542" s="71">
        <f t="shared" si="83"/>
        <v>785.5</v>
      </c>
      <c r="F542" s="146"/>
      <c r="G542" s="71">
        <f t="shared" si="84"/>
        <v>0</v>
      </c>
      <c r="H542" s="146"/>
      <c r="I542" s="85"/>
      <c r="J542" s="85">
        <v>785.5</v>
      </c>
      <c r="K542" s="146"/>
      <c r="L542" s="78" t="s">
        <v>99</v>
      </c>
      <c r="M542" s="112"/>
      <c r="N542" s="113"/>
    </row>
    <row r="543" spans="1:14" ht="45.75" customHeight="1">
      <c r="A543" s="440"/>
      <c r="B543" s="101"/>
      <c r="C543" s="447" t="s">
        <v>102</v>
      </c>
      <c r="D543" s="72">
        <v>2024</v>
      </c>
      <c r="E543" s="71">
        <f t="shared" si="83"/>
        <v>541</v>
      </c>
      <c r="F543" s="146"/>
      <c r="G543" s="71">
        <f t="shared" si="84"/>
        <v>0</v>
      </c>
      <c r="H543" s="146"/>
      <c r="I543" s="85"/>
      <c r="J543" s="85">
        <v>541</v>
      </c>
      <c r="K543" s="146"/>
      <c r="L543" s="78" t="s">
        <v>102</v>
      </c>
      <c r="M543" s="112"/>
      <c r="N543" s="113"/>
    </row>
    <row r="544" spans="1:14" ht="45.75" customHeight="1">
      <c r="A544" s="440"/>
      <c r="B544" s="101"/>
      <c r="C544" s="435" t="s">
        <v>26</v>
      </c>
      <c r="D544" s="72">
        <v>2024</v>
      </c>
      <c r="E544" s="71">
        <f t="shared" si="83"/>
        <v>1152</v>
      </c>
      <c r="F544" s="146"/>
      <c r="G544" s="71">
        <f t="shared" si="84"/>
        <v>0</v>
      </c>
      <c r="H544" s="146"/>
      <c r="I544" s="85"/>
      <c r="J544" s="85">
        <v>1152</v>
      </c>
      <c r="K544" s="146"/>
      <c r="L544" s="49" t="s">
        <v>26</v>
      </c>
      <c r="M544" s="112"/>
      <c r="N544" s="113"/>
    </row>
    <row r="545" spans="1:14" ht="45.75" customHeight="1">
      <c r="A545" s="440"/>
      <c r="B545" s="101"/>
      <c r="C545" s="435" t="s">
        <v>27</v>
      </c>
      <c r="D545" s="72">
        <v>2024</v>
      </c>
      <c r="E545" s="71">
        <f t="shared" si="83"/>
        <v>2169.8</v>
      </c>
      <c r="F545" s="146"/>
      <c r="G545" s="71">
        <f t="shared" si="84"/>
        <v>0</v>
      </c>
      <c r="H545" s="146"/>
      <c r="I545" s="85"/>
      <c r="J545" s="85">
        <v>2169.8</v>
      </c>
      <c r="K545" s="146"/>
      <c r="L545" s="49" t="s">
        <v>27</v>
      </c>
      <c r="M545" s="112"/>
      <c r="N545" s="113"/>
    </row>
    <row r="546" spans="1:14" ht="45.75" customHeight="1">
      <c r="A546" s="440"/>
      <c r="B546" s="101"/>
      <c r="C546" s="447" t="s">
        <v>97</v>
      </c>
      <c r="D546" s="72">
        <v>2024</v>
      </c>
      <c r="E546" s="71">
        <f t="shared" si="83"/>
        <v>827.32</v>
      </c>
      <c r="F546" s="146"/>
      <c r="G546" s="71">
        <f t="shared" si="84"/>
        <v>0</v>
      </c>
      <c r="H546" s="146"/>
      <c r="I546" s="85"/>
      <c r="J546" s="85">
        <v>827.32</v>
      </c>
      <c r="K546" s="146"/>
      <c r="L546" s="78" t="s">
        <v>97</v>
      </c>
      <c r="M546" s="112"/>
      <c r="N546" s="113"/>
    </row>
    <row r="547" spans="1:14" ht="45.75" customHeight="1">
      <c r="A547" s="440"/>
      <c r="B547" s="101"/>
      <c r="C547" s="447" t="s">
        <v>98</v>
      </c>
      <c r="D547" s="18">
        <v>2025</v>
      </c>
      <c r="E547" s="71">
        <f t="shared" si="83"/>
        <v>823.5</v>
      </c>
      <c r="F547" s="146"/>
      <c r="G547" s="71">
        <f t="shared" si="84"/>
        <v>0</v>
      </c>
      <c r="H547" s="146"/>
      <c r="I547" s="85"/>
      <c r="J547" s="85">
        <v>823.5</v>
      </c>
      <c r="K547" s="146"/>
      <c r="L547" s="78" t="s">
        <v>98</v>
      </c>
      <c r="M547" s="112"/>
      <c r="N547" s="113"/>
    </row>
    <row r="548" spans="1:14" ht="45.75" customHeight="1">
      <c r="A548" s="440"/>
      <c r="B548" s="101"/>
      <c r="C548" s="447" t="s">
        <v>99</v>
      </c>
      <c r="D548" s="18">
        <v>2025</v>
      </c>
      <c r="E548" s="71">
        <f t="shared" si="83"/>
        <v>785.5</v>
      </c>
      <c r="F548" s="146"/>
      <c r="G548" s="71">
        <f t="shared" si="84"/>
        <v>0</v>
      </c>
      <c r="H548" s="146"/>
      <c r="I548" s="85"/>
      <c r="J548" s="85">
        <v>785.5</v>
      </c>
      <c r="K548" s="146"/>
      <c r="L548" s="78" t="s">
        <v>99</v>
      </c>
      <c r="M548" s="112"/>
      <c r="N548" s="113"/>
    </row>
    <row r="549" spans="1:14" ht="45.75" customHeight="1">
      <c r="A549" s="440"/>
      <c r="B549" s="101"/>
      <c r="C549" s="447" t="s">
        <v>102</v>
      </c>
      <c r="D549" s="18">
        <v>2025</v>
      </c>
      <c r="E549" s="71">
        <f t="shared" si="83"/>
        <v>541</v>
      </c>
      <c r="F549" s="146"/>
      <c r="G549" s="71">
        <f t="shared" si="84"/>
        <v>0</v>
      </c>
      <c r="H549" s="146"/>
      <c r="I549" s="85"/>
      <c r="J549" s="85">
        <v>541</v>
      </c>
      <c r="K549" s="146"/>
      <c r="L549" s="78" t="s">
        <v>102</v>
      </c>
      <c r="M549" s="112"/>
      <c r="N549" s="113"/>
    </row>
    <row r="550" spans="1:14" ht="45.75" customHeight="1">
      <c r="A550" s="440"/>
      <c r="B550" s="101"/>
      <c r="C550" s="435" t="s">
        <v>26</v>
      </c>
      <c r="D550" s="18">
        <v>2025</v>
      </c>
      <c r="E550" s="71">
        <f t="shared" si="83"/>
        <v>1152</v>
      </c>
      <c r="F550" s="146"/>
      <c r="G550" s="71">
        <f t="shared" si="84"/>
        <v>0</v>
      </c>
      <c r="H550" s="146"/>
      <c r="I550" s="85"/>
      <c r="J550" s="85">
        <v>1152</v>
      </c>
      <c r="K550" s="146"/>
      <c r="L550" s="49" t="s">
        <v>26</v>
      </c>
      <c r="M550" s="112"/>
      <c r="N550" s="113"/>
    </row>
    <row r="551" spans="1:14" ht="45.75" customHeight="1">
      <c r="A551" s="440"/>
      <c r="B551" s="101"/>
      <c r="C551" s="435" t="s">
        <v>27</v>
      </c>
      <c r="D551" s="18">
        <v>2025</v>
      </c>
      <c r="E551" s="71">
        <f t="shared" si="83"/>
        <v>2169.8</v>
      </c>
      <c r="F551" s="146"/>
      <c r="G551" s="71">
        <f t="shared" si="84"/>
        <v>0</v>
      </c>
      <c r="H551" s="146"/>
      <c r="I551" s="85"/>
      <c r="J551" s="85">
        <v>2169.8</v>
      </c>
      <c r="K551" s="146"/>
      <c r="L551" s="49" t="s">
        <v>27</v>
      </c>
      <c r="M551" s="112"/>
      <c r="N551" s="113"/>
    </row>
    <row r="552" spans="1:14" ht="45.75" customHeight="1">
      <c r="A552" s="440"/>
      <c r="B552" s="101"/>
      <c r="C552" s="447" t="s">
        <v>97</v>
      </c>
      <c r="D552" s="18">
        <v>2025</v>
      </c>
      <c r="E552" s="71">
        <f t="shared" si="83"/>
        <v>827.32</v>
      </c>
      <c r="F552" s="146"/>
      <c r="G552" s="71">
        <f t="shared" si="84"/>
        <v>0</v>
      </c>
      <c r="H552" s="146"/>
      <c r="I552" s="85"/>
      <c r="J552" s="85">
        <v>827.32</v>
      </c>
      <c r="K552" s="146"/>
      <c r="L552" s="78" t="s">
        <v>97</v>
      </c>
      <c r="M552" s="112"/>
      <c r="N552" s="113"/>
    </row>
    <row r="553" spans="1:14" ht="39.75" customHeight="1">
      <c r="A553" s="428" t="s">
        <v>329</v>
      </c>
      <c r="B553" s="112" t="s">
        <v>330</v>
      </c>
      <c r="C553" s="49" t="s">
        <v>27</v>
      </c>
      <c r="D553" s="72">
        <v>2020</v>
      </c>
      <c r="E553" s="146"/>
      <c r="F553" s="146"/>
      <c r="G553" s="146"/>
      <c r="H553" s="146"/>
      <c r="I553" s="146"/>
      <c r="J553" s="21">
        <v>0</v>
      </c>
      <c r="K553" s="146"/>
      <c r="L553" s="49" t="s">
        <v>27</v>
      </c>
      <c r="M553" s="112"/>
      <c r="N553" s="113"/>
    </row>
    <row r="554" spans="1:14" ht="36" customHeight="1">
      <c r="A554" s="428" t="s">
        <v>331</v>
      </c>
      <c r="B554" s="112" t="s">
        <v>332</v>
      </c>
      <c r="C554" s="49" t="s">
        <v>27</v>
      </c>
      <c r="D554" s="72">
        <v>2020</v>
      </c>
      <c r="E554" s="146"/>
      <c r="F554" s="146"/>
      <c r="G554" s="146"/>
      <c r="H554" s="146"/>
      <c r="I554" s="146"/>
      <c r="J554" s="21">
        <v>0</v>
      </c>
      <c r="K554" s="146"/>
      <c r="L554" s="49" t="s">
        <v>27</v>
      </c>
      <c r="M554" s="112"/>
      <c r="N554" s="113"/>
    </row>
    <row r="555" spans="1:14" ht="37.5" customHeight="1">
      <c r="A555" s="440" t="s">
        <v>333</v>
      </c>
      <c r="B555" s="112" t="s">
        <v>334</v>
      </c>
      <c r="C555" s="78" t="s">
        <v>97</v>
      </c>
      <c r="D555" s="72">
        <v>2020</v>
      </c>
      <c r="E555" s="146"/>
      <c r="F555" s="146"/>
      <c r="G555" s="146"/>
      <c r="H555" s="146"/>
      <c r="I555" s="146"/>
      <c r="J555" s="21">
        <v>0</v>
      </c>
      <c r="K555" s="146"/>
      <c r="L555" s="78" t="s">
        <v>97</v>
      </c>
      <c r="M555" s="112"/>
      <c r="N555" s="113"/>
    </row>
    <row r="556" spans="1:14" ht="41.25" customHeight="1">
      <c r="A556" s="449" t="s">
        <v>335</v>
      </c>
      <c r="B556" s="450" t="s">
        <v>336</v>
      </c>
      <c r="C556" s="353" t="s">
        <v>97</v>
      </c>
      <c r="D556" s="451">
        <v>2020</v>
      </c>
      <c r="E556" s="310"/>
      <c r="F556" s="310"/>
      <c r="G556" s="310"/>
      <c r="H556" s="310"/>
      <c r="I556" s="310"/>
      <c r="J556" s="74">
        <v>0</v>
      </c>
      <c r="K556" s="310"/>
      <c r="L556" s="134" t="s">
        <v>97</v>
      </c>
      <c r="M556" s="364"/>
      <c r="N556" s="113"/>
    </row>
    <row r="557" spans="1:14" s="245" customFormat="1" ht="41.25" customHeight="1">
      <c r="A557" s="452" t="s">
        <v>337</v>
      </c>
      <c r="B557" s="453" t="s">
        <v>338</v>
      </c>
      <c r="C557" s="453"/>
      <c r="D557" s="454">
        <v>2020</v>
      </c>
      <c r="E557" s="301">
        <f aca="true" t="shared" si="85" ref="E557:E560">F557+G557+J557+K557</f>
        <v>1762</v>
      </c>
      <c r="F557" s="301"/>
      <c r="G557" s="301">
        <f aca="true" t="shared" si="86" ref="G557:G560">H557+I557</f>
        <v>1533</v>
      </c>
      <c r="H557" s="301"/>
      <c r="I557" s="301">
        <f>I558+I559+I560</f>
        <v>1533</v>
      </c>
      <c r="J557" s="219">
        <f>J558+J559+J560</f>
        <v>229</v>
      </c>
      <c r="K557" s="301">
        <f>K558+K559+K560</f>
        <v>0</v>
      </c>
      <c r="L557" s="455"/>
      <c r="M557" s="243"/>
      <c r="N557" s="244"/>
    </row>
    <row r="558" spans="1:14" ht="77.25" customHeight="1">
      <c r="A558" s="452"/>
      <c r="B558" s="456" t="s">
        <v>339</v>
      </c>
      <c r="C558" s="457"/>
      <c r="D558" s="433">
        <v>2020</v>
      </c>
      <c r="E558" s="304">
        <f t="shared" si="85"/>
        <v>300</v>
      </c>
      <c r="F558" s="304"/>
      <c r="G558" s="304">
        <f t="shared" si="86"/>
        <v>261</v>
      </c>
      <c r="H558" s="304"/>
      <c r="I558" s="304">
        <v>261</v>
      </c>
      <c r="J558" s="62">
        <v>39</v>
      </c>
      <c r="K558" s="304">
        <v>0</v>
      </c>
      <c r="L558" s="56" t="s">
        <v>97</v>
      </c>
      <c r="M558" s="112"/>
      <c r="N558" s="113"/>
    </row>
    <row r="559" spans="1:14" ht="42.75" customHeight="1">
      <c r="A559" s="452"/>
      <c r="B559" s="453" t="s">
        <v>340</v>
      </c>
      <c r="C559" s="458"/>
      <c r="D559" s="50">
        <v>2020</v>
      </c>
      <c r="E559" s="146">
        <f t="shared" si="85"/>
        <v>657.4</v>
      </c>
      <c r="F559" s="146"/>
      <c r="G559" s="146">
        <f t="shared" si="86"/>
        <v>572</v>
      </c>
      <c r="H559" s="146"/>
      <c r="I559" s="146">
        <v>572</v>
      </c>
      <c r="J559" s="21">
        <v>85.4</v>
      </c>
      <c r="K559" s="146">
        <v>0</v>
      </c>
      <c r="L559" s="48" t="s">
        <v>26</v>
      </c>
      <c r="M559" s="112"/>
      <c r="N559" s="113"/>
    </row>
    <row r="560" spans="1:14" ht="42.75" customHeight="1">
      <c r="A560" s="452"/>
      <c r="B560" s="453"/>
      <c r="C560" s="458"/>
      <c r="D560" s="50">
        <v>2020</v>
      </c>
      <c r="E560" s="146">
        <f t="shared" si="85"/>
        <v>804.6</v>
      </c>
      <c r="F560" s="146"/>
      <c r="G560" s="146">
        <f t="shared" si="86"/>
        <v>700</v>
      </c>
      <c r="H560" s="146"/>
      <c r="I560" s="146">
        <v>700</v>
      </c>
      <c r="J560" s="21">
        <v>104.6</v>
      </c>
      <c r="K560" s="146">
        <v>0</v>
      </c>
      <c r="L560" s="48" t="s">
        <v>27</v>
      </c>
      <c r="M560" s="112"/>
      <c r="N560" s="113"/>
    </row>
    <row r="561" spans="1:19" s="245" customFormat="1" ht="40.5" customHeight="1">
      <c r="A561" s="459"/>
      <c r="B561" s="460" t="s">
        <v>338</v>
      </c>
      <c r="C561" s="461"/>
      <c r="D561" s="323">
        <v>2021</v>
      </c>
      <c r="E561" s="296">
        <f>E562+E563+E564</f>
        <v>1790.993</v>
      </c>
      <c r="F561" s="296">
        <f>F562+F563+F564</f>
        <v>0</v>
      </c>
      <c r="G561" s="296">
        <f>G562+G563+G564</f>
        <v>0</v>
      </c>
      <c r="H561" s="296">
        <f>H562+H563+H564</f>
        <v>0</v>
      </c>
      <c r="I561" s="296">
        <f>I562+I563+I564</f>
        <v>0</v>
      </c>
      <c r="J561" s="265">
        <f>J562+J563+J564</f>
        <v>1790.993</v>
      </c>
      <c r="K561" s="296">
        <f>K562+K563+K564</f>
        <v>0</v>
      </c>
      <c r="L561" s="462"/>
      <c r="M561" s="463"/>
      <c r="N561" s="464"/>
      <c r="S561" s="290"/>
    </row>
    <row r="562" spans="1:19" s="245" customFormat="1" ht="60.75" customHeight="1">
      <c r="A562" s="465"/>
      <c r="B562" s="106" t="s">
        <v>341</v>
      </c>
      <c r="C562" s="466"/>
      <c r="D562" s="59"/>
      <c r="E562" s="146">
        <f>J562</f>
        <v>98.133</v>
      </c>
      <c r="F562" s="52"/>
      <c r="G562" s="146">
        <f aca="true" t="shared" si="87" ref="G562:G567">I562</f>
        <v>0</v>
      </c>
      <c r="H562" s="146"/>
      <c r="I562" s="146">
        <v>0</v>
      </c>
      <c r="J562" s="21">
        <f>12.532+85.601</f>
        <v>98.133</v>
      </c>
      <c r="K562" s="146">
        <v>0</v>
      </c>
      <c r="L562" s="56" t="s">
        <v>97</v>
      </c>
      <c r="M562" s="467"/>
      <c r="N562" s="468"/>
      <c r="S562" s="290"/>
    </row>
    <row r="563" spans="1:19" s="245" customFormat="1" ht="39.75" customHeight="1">
      <c r="A563" s="465"/>
      <c r="B563" s="106"/>
      <c r="C563" s="49" t="s">
        <v>26</v>
      </c>
      <c r="D563" s="469"/>
      <c r="E563" s="146">
        <f>G563</f>
        <v>0</v>
      </c>
      <c r="F563" s="52"/>
      <c r="G563" s="146">
        <f t="shared" si="87"/>
        <v>0</v>
      </c>
      <c r="H563" s="146"/>
      <c r="I563" s="146">
        <v>0</v>
      </c>
      <c r="J563" s="21">
        <v>0</v>
      </c>
      <c r="K563" s="146">
        <v>0</v>
      </c>
      <c r="L563" s="48" t="s">
        <v>26</v>
      </c>
      <c r="M563" s="467"/>
      <c r="N563" s="468"/>
      <c r="S563" s="290"/>
    </row>
    <row r="564" spans="1:19" s="245" customFormat="1" ht="48" customHeight="1">
      <c r="A564" s="465"/>
      <c r="B564" s="106"/>
      <c r="C564" s="49" t="s">
        <v>27</v>
      </c>
      <c r="D564" s="323"/>
      <c r="E564" s="297">
        <f aca="true" t="shared" si="88" ref="E564:E567">F564+G564+J564+K564</f>
        <v>1692.86</v>
      </c>
      <c r="F564" s="70"/>
      <c r="G564" s="297">
        <f t="shared" si="87"/>
        <v>0</v>
      </c>
      <c r="H564" s="297"/>
      <c r="I564" s="297">
        <v>0</v>
      </c>
      <c r="J564" s="265">
        <v>1692.86</v>
      </c>
      <c r="K564" s="297">
        <v>0</v>
      </c>
      <c r="L564" s="378" t="s">
        <v>27</v>
      </c>
      <c r="M564" s="467"/>
      <c r="N564" s="468"/>
      <c r="S564" s="290"/>
    </row>
    <row r="565" spans="1:19" s="245" customFormat="1" ht="82.5" customHeight="1">
      <c r="A565" s="465"/>
      <c r="B565" s="106"/>
      <c r="C565" s="49" t="s">
        <v>27</v>
      </c>
      <c r="D565" s="470">
        <v>2022</v>
      </c>
      <c r="E565" s="146">
        <f t="shared" si="88"/>
        <v>964.9</v>
      </c>
      <c r="F565" s="52"/>
      <c r="G565" s="146">
        <f t="shared" si="87"/>
        <v>839.463</v>
      </c>
      <c r="H565" s="146"/>
      <c r="I565" s="146">
        <v>839.463</v>
      </c>
      <c r="J565" s="21">
        <v>125.437</v>
      </c>
      <c r="K565" s="146">
        <v>0</v>
      </c>
      <c r="L565" s="471"/>
      <c r="M565" s="467"/>
      <c r="N565" s="468"/>
      <c r="S565" s="290"/>
    </row>
    <row r="566" spans="1:19" s="245" customFormat="1" ht="82.5" customHeight="1">
      <c r="A566" s="465"/>
      <c r="B566" s="106"/>
      <c r="C566" s="49" t="s">
        <v>26</v>
      </c>
      <c r="D566" s="470">
        <v>2022</v>
      </c>
      <c r="E566" s="146">
        <f t="shared" si="88"/>
        <v>277.6</v>
      </c>
      <c r="F566" s="52"/>
      <c r="G566" s="146">
        <f t="shared" si="87"/>
        <v>241.537</v>
      </c>
      <c r="H566" s="146"/>
      <c r="I566" s="146">
        <v>241.537</v>
      </c>
      <c r="J566" s="21">
        <v>36.063</v>
      </c>
      <c r="K566" s="146"/>
      <c r="L566" s="471"/>
      <c r="M566" s="467"/>
      <c r="N566" s="468"/>
      <c r="S566" s="290"/>
    </row>
    <row r="567" spans="1:19" s="245" customFormat="1" ht="82.5" customHeight="1">
      <c r="A567" s="465"/>
      <c r="B567" s="106"/>
      <c r="C567" s="78" t="s">
        <v>97</v>
      </c>
      <c r="D567" s="470">
        <v>2022</v>
      </c>
      <c r="E567" s="146">
        <f t="shared" si="88"/>
        <v>648.3</v>
      </c>
      <c r="F567" s="52"/>
      <c r="G567" s="146">
        <f t="shared" si="87"/>
        <v>564</v>
      </c>
      <c r="H567" s="146"/>
      <c r="I567" s="146">
        <v>564</v>
      </c>
      <c r="J567" s="21">
        <v>84.3</v>
      </c>
      <c r="K567" s="146">
        <v>0</v>
      </c>
      <c r="L567" s="78" t="s">
        <v>97</v>
      </c>
      <c r="M567" s="467"/>
      <c r="N567" s="468"/>
      <c r="S567" s="290"/>
    </row>
    <row r="568" spans="1:19" s="245" customFormat="1" ht="57" customHeight="1">
      <c r="A568" s="465"/>
      <c r="B568" s="106"/>
      <c r="C568" s="49" t="s">
        <v>27</v>
      </c>
      <c r="D568" s="59">
        <v>2023</v>
      </c>
      <c r="E568" s="472">
        <f aca="true" t="shared" si="89" ref="E568:E570">I568+J568</f>
        <v>411.927</v>
      </c>
      <c r="F568" s="61"/>
      <c r="G568" s="146"/>
      <c r="H568" s="304"/>
      <c r="I568" s="304">
        <v>184.39949</v>
      </c>
      <c r="J568" s="62">
        <f>27.52751+200</f>
        <v>227.52751</v>
      </c>
      <c r="K568" s="304">
        <v>0</v>
      </c>
      <c r="L568" s="473"/>
      <c r="M568" s="467"/>
      <c r="N568" s="468"/>
      <c r="S568" s="290"/>
    </row>
    <row r="569" spans="1:19" s="245" customFormat="1" ht="82.5" customHeight="1">
      <c r="A569" s="465"/>
      <c r="B569" s="106"/>
      <c r="C569" s="49" t="s">
        <v>26</v>
      </c>
      <c r="D569" s="59">
        <v>2023</v>
      </c>
      <c r="E569" s="472">
        <f t="shared" si="89"/>
        <v>16</v>
      </c>
      <c r="F569" s="61"/>
      <c r="G569" s="146"/>
      <c r="H569" s="304"/>
      <c r="I569" s="305">
        <v>13.92</v>
      </c>
      <c r="J569" s="474">
        <v>2.08</v>
      </c>
      <c r="K569" s="304">
        <v>0</v>
      </c>
      <c r="L569" s="473"/>
      <c r="M569" s="467"/>
      <c r="N569" s="468"/>
      <c r="S569" s="290"/>
    </row>
    <row r="570" spans="1:19" s="245" customFormat="1" ht="60.75" customHeight="1">
      <c r="A570" s="465"/>
      <c r="B570" s="475"/>
      <c r="C570" s="78" t="s">
        <v>98</v>
      </c>
      <c r="D570" s="59">
        <v>2023</v>
      </c>
      <c r="E570" s="472">
        <f t="shared" si="89"/>
        <v>194.90791</v>
      </c>
      <c r="F570" s="52"/>
      <c r="G570" s="146"/>
      <c r="H570" s="146"/>
      <c r="I570" s="146">
        <v>169.58888</v>
      </c>
      <c r="J570" s="21">
        <v>25.31903</v>
      </c>
      <c r="K570" s="146">
        <v>0</v>
      </c>
      <c r="L570" s="56" t="s">
        <v>98</v>
      </c>
      <c r="M570" s="467"/>
      <c r="N570" s="468"/>
      <c r="S570" s="290"/>
    </row>
    <row r="571" spans="1:19" s="245" customFormat="1" ht="43.5" customHeight="1">
      <c r="A571" s="465"/>
      <c r="B571" s="106" t="s">
        <v>340</v>
      </c>
      <c r="C571" s="49" t="s">
        <v>26</v>
      </c>
      <c r="D571" s="469">
        <v>2024</v>
      </c>
      <c r="E571" s="476">
        <f aca="true" t="shared" si="90" ref="E571:E575">F571+G571+J571+K571</f>
        <v>1242.5</v>
      </c>
      <c r="F571" s="52"/>
      <c r="G571" s="477">
        <f aca="true" t="shared" si="91" ref="G571:G573">I571</f>
        <v>1081</v>
      </c>
      <c r="H571" s="304"/>
      <c r="I571" s="304">
        <v>1081</v>
      </c>
      <c r="J571" s="62">
        <v>161.5</v>
      </c>
      <c r="K571" s="304"/>
      <c r="L571" s="48" t="s">
        <v>26</v>
      </c>
      <c r="M571" s="467"/>
      <c r="N571" s="468"/>
      <c r="S571" s="290"/>
    </row>
    <row r="572" spans="1:19" s="245" customFormat="1" ht="43.5" customHeight="1">
      <c r="A572" s="465"/>
      <c r="B572" s="106"/>
      <c r="C572" s="78" t="s">
        <v>98</v>
      </c>
      <c r="D572" s="469">
        <v>2024</v>
      </c>
      <c r="E572" s="476">
        <f t="shared" si="90"/>
        <v>651.7</v>
      </c>
      <c r="F572" s="52"/>
      <c r="G572" s="477">
        <f t="shared" si="91"/>
        <v>567</v>
      </c>
      <c r="H572" s="304"/>
      <c r="I572" s="304">
        <v>567</v>
      </c>
      <c r="J572" s="62">
        <v>84.7</v>
      </c>
      <c r="K572" s="304"/>
      <c r="L572" s="56" t="s">
        <v>98</v>
      </c>
      <c r="M572" s="467"/>
      <c r="N572" s="468"/>
      <c r="S572" s="290"/>
    </row>
    <row r="573" spans="1:14" s="245" customFormat="1" ht="41.25" customHeight="1">
      <c r="A573" s="465"/>
      <c r="B573" s="106"/>
      <c r="C573" s="49" t="s">
        <v>27</v>
      </c>
      <c r="D573" s="323"/>
      <c r="E573" s="476">
        <f t="shared" si="90"/>
        <v>0</v>
      </c>
      <c r="F573" s="52"/>
      <c r="G573" s="477">
        <f t="shared" si="91"/>
        <v>0</v>
      </c>
      <c r="H573" s="146"/>
      <c r="I573" s="146"/>
      <c r="J573" s="21"/>
      <c r="K573" s="146">
        <v>0</v>
      </c>
      <c r="L573" s="48" t="s">
        <v>27</v>
      </c>
      <c r="M573" s="467"/>
      <c r="N573" s="468"/>
    </row>
    <row r="574" spans="1:14" ht="24.75" customHeight="1">
      <c r="A574" s="478"/>
      <c r="B574" s="479" t="s">
        <v>342</v>
      </c>
      <c r="C574" s="480"/>
      <c r="D574" s="227">
        <v>2017</v>
      </c>
      <c r="E574" s="481">
        <f t="shared" si="90"/>
        <v>26434.284</v>
      </c>
      <c r="F574" s="382">
        <f aca="true" t="shared" si="92" ref="F574:F575">G574+H574</f>
        <v>0</v>
      </c>
      <c r="G574" s="482">
        <f aca="true" t="shared" si="93" ref="G574:G575">H574+I574</f>
        <v>0</v>
      </c>
      <c r="H574" s="483">
        <f>H283+H284</f>
        <v>0</v>
      </c>
      <c r="I574" s="483">
        <f>I283+I284</f>
        <v>0</v>
      </c>
      <c r="J574" s="39">
        <f>J283+J284</f>
        <v>26434.284</v>
      </c>
      <c r="K574" s="481">
        <v>0</v>
      </c>
      <c r="L574" s="484"/>
      <c r="M574" s="112"/>
      <c r="N574" s="113"/>
    </row>
    <row r="575" spans="1:14" ht="24.75" customHeight="1">
      <c r="A575" s="478"/>
      <c r="B575" s="479"/>
      <c r="C575" s="480"/>
      <c r="D575" s="228">
        <v>2018</v>
      </c>
      <c r="E575" s="109">
        <f t="shared" si="90"/>
        <v>29674.233</v>
      </c>
      <c r="F575" s="369">
        <f t="shared" si="92"/>
        <v>0</v>
      </c>
      <c r="G575" s="369">
        <f t="shared" si="93"/>
        <v>0</v>
      </c>
      <c r="H575" s="370">
        <f>H285</f>
        <v>0</v>
      </c>
      <c r="I575" s="370">
        <f>I285</f>
        <v>0</v>
      </c>
      <c r="J575" s="21">
        <f>J285+J474</f>
        <v>29674.233</v>
      </c>
      <c r="K575" s="370">
        <v>0</v>
      </c>
      <c r="L575" s="392"/>
      <c r="M575" s="112"/>
      <c r="N575" s="113"/>
    </row>
    <row r="576" spans="1:14" ht="24.75" customHeight="1">
      <c r="A576" s="478"/>
      <c r="B576" s="479"/>
      <c r="C576" s="480"/>
      <c r="D576" s="228">
        <v>2019</v>
      </c>
      <c r="E576" s="109">
        <f>E301+E482+E500+E515</f>
        <v>27583.273400000002</v>
      </c>
      <c r="F576" s="109">
        <f>F301+F482+F500+F515</f>
        <v>0</v>
      </c>
      <c r="G576" s="109">
        <f>G301+G482+G500+G515</f>
        <v>1436</v>
      </c>
      <c r="H576" s="109">
        <f>H301+H482+H500+H515</f>
        <v>0</v>
      </c>
      <c r="I576" s="109">
        <f>I301+I482+I500+I515</f>
        <v>1436</v>
      </c>
      <c r="J576" s="21">
        <f>J301+J482+J500+J515</f>
        <v>26147.273400000002</v>
      </c>
      <c r="K576" s="109">
        <f>K301+K482+K500+K515</f>
        <v>0</v>
      </c>
      <c r="L576" s="392"/>
      <c r="M576" s="112"/>
      <c r="N576" s="113"/>
    </row>
    <row r="577" spans="1:14" ht="24.75" customHeight="1">
      <c r="A577" s="478"/>
      <c r="B577" s="479"/>
      <c r="C577" s="480"/>
      <c r="D577" s="228">
        <v>2020</v>
      </c>
      <c r="E577" s="109">
        <f>E316+E464+E485+E501+E518+E557</f>
        <v>18433.81058</v>
      </c>
      <c r="F577" s="109">
        <f>F316+F464+F485+F501+F518+F557</f>
        <v>0</v>
      </c>
      <c r="G577" s="109">
        <f>G316+G464+G485+G501+G518+G557</f>
        <v>1533</v>
      </c>
      <c r="H577" s="109">
        <f>H316+H464+H485+H501+H518+H557</f>
        <v>0</v>
      </c>
      <c r="I577" s="109">
        <f>I316+I464+I485+I501+I518+I557</f>
        <v>1533</v>
      </c>
      <c r="J577" s="21">
        <f>J316+J464+J485+J501+J557</f>
        <v>16588.27489</v>
      </c>
      <c r="K577" s="109">
        <f>K316+K464+K485+K501+K518</f>
        <v>0</v>
      </c>
      <c r="L577" s="392"/>
      <c r="M577" s="112"/>
      <c r="N577" s="113"/>
    </row>
    <row r="578" spans="1:14" ht="24.75" customHeight="1">
      <c r="A578" s="478"/>
      <c r="B578" s="479"/>
      <c r="C578" s="480"/>
      <c r="D578" s="228">
        <v>2021</v>
      </c>
      <c r="E578" s="109">
        <f>E326+E465+E489+E502+E519+E561</f>
        <v>16563.09093</v>
      </c>
      <c r="F578" s="109">
        <f>F326+F465+F489+F502+F519+F561</f>
        <v>0</v>
      </c>
      <c r="G578" s="109">
        <f>G326+G465+G489+G502+G519+G561</f>
        <v>0</v>
      </c>
      <c r="H578" s="109">
        <f>H326+H465+H489+H502+H519+H561</f>
        <v>0</v>
      </c>
      <c r="I578" s="109">
        <f>I326+I465+I489+I502+I519+I561</f>
        <v>0</v>
      </c>
      <c r="J578" s="21">
        <f>J326+J465+J489+J502+J519+J561</f>
        <v>16563.09093</v>
      </c>
      <c r="K578" s="109">
        <f>K326+K465+K489+K502+K519+K561</f>
        <v>0</v>
      </c>
      <c r="L578" s="392"/>
      <c r="M578" s="112"/>
      <c r="N578" s="113"/>
    </row>
    <row r="579" spans="1:14" ht="24.75" customHeight="1">
      <c r="A579" s="478"/>
      <c r="B579" s="479"/>
      <c r="C579" s="480"/>
      <c r="D579" s="228">
        <v>2022</v>
      </c>
      <c r="E579" s="109">
        <f>E375+E466+E503+E520+E567+E566+E565</f>
        <v>14919.81073</v>
      </c>
      <c r="F579" s="109">
        <f>F375+F466+F503+F520+F567+F566+F565</f>
        <v>0</v>
      </c>
      <c r="G579" s="109">
        <f>G375+G466+G503+G520+G567+G566+G565</f>
        <v>1645</v>
      </c>
      <c r="H579" s="109">
        <f>H375+H466+H503+H520+H567+H566+H565</f>
        <v>0</v>
      </c>
      <c r="I579" s="109">
        <f>I375+I466+I503+I520+I567+I566+I565+I568+I569</f>
        <v>1843.31949</v>
      </c>
      <c r="J579" s="485">
        <f>J375+J466+J503+J520+J567+J566+J565</f>
        <v>13274.81073</v>
      </c>
      <c r="K579" s="109">
        <f>K375+K466+K503+K520+K567</f>
        <v>0</v>
      </c>
      <c r="L579" s="109"/>
      <c r="M579" s="112"/>
      <c r="N579" s="113"/>
    </row>
    <row r="580" spans="1:14" ht="24.75" customHeight="1">
      <c r="A580" s="478"/>
      <c r="B580" s="479"/>
      <c r="C580" s="480"/>
      <c r="D580" s="486">
        <v>2023</v>
      </c>
      <c r="E580" s="109">
        <f>E414+E504+E518+E521+E568+E569+E570</f>
        <v>13061.57074</v>
      </c>
      <c r="F580" s="109">
        <f>F414+F504+F518+F521+F568+F569+F570</f>
        <v>0</v>
      </c>
      <c r="G580" s="109">
        <f>I580</f>
        <v>2158.43511</v>
      </c>
      <c r="H580" s="109">
        <f>H414+H504+H518+H521+H568+H569+H570</f>
        <v>0</v>
      </c>
      <c r="I580" s="109">
        <f>I414+I504+I518+I521+I568+I569+I570</f>
        <v>2158.43511</v>
      </c>
      <c r="J580" s="485">
        <f>J414+J504+J518+J521+J568+J569+J570</f>
        <v>10903.13563</v>
      </c>
      <c r="K580" s="109">
        <f>K414+K504+K518+K521+K568+K569+K570</f>
        <v>0</v>
      </c>
      <c r="L580" s="487"/>
      <c r="M580" s="112"/>
      <c r="N580" s="113"/>
    </row>
    <row r="581" spans="1:14" ht="24.75" customHeight="1">
      <c r="A581" s="478"/>
      <c r="B581" s="479"/>
      <c r="C581" s="480"/>
      <c r="D581" s="486">
        <v>2024</v>
      </c>
      <c r="E581" s="296">
        <f>E452+E522+E571+E572</f>
        <v>15031</v>
      </c>
      <c r="F581" s="296">
        <f>F452+F522+F571+F572</f>
        <v>0</v>
      </c>
      <c r="G581" s="296">
        <f>G452+G522+G571+G572</f>
        <v>1648</v>
      </c>
      <c r="H581" s="296">
        <f>H452+H522+H571+H572</f>
        <v>0</v>
      </c>
      <c r="I581" s="296">
        <f>I452+I522+I571+I572</f>
        <v>1648</v>
      </c>
      <c r="J581" s="265">
        <f>J452+J522+J571+J572</f>
        <v>13383</v>
      </c>
      <c r="K581" s="296">
        <f>K452+K522+K571+K572</f>
        <v>0</v>
      </c>
      <c r="L581" s="488"/>
      <c r="M581" s="112"/>
      <c r="N581" s="489"/>
    </row>
    <row r="582" spans="1:14" s="496" customFormat="1" ht="24.75" customHeight="1">
      <c r="A582" s="490"/>
      <c r="B582" s="491"/>
      <c r="C582" s="492"/>
      <c r="D582" s="493">
        <v>2025</v>
      </c>
      <c r="E582" s="109">
        <f>E458+E523</f>
        <v>13247.57</v>
      </c>
      <c r="F582" s="109">
        <f>F458+F523</f>
        <v>0</v>
      </c>
      <c r="G582" s="109">
        <f>G458+G523</f>
        <v>0</v>
      </c>
      <c r="H582" s="109">
        <f>H458+H523</f>
        <v>0</v>
      </c>
      <c r="I582" s="109">
        <f>I458+I523</f>
        <v>0</v>
      </c>
      <c r="J582" s="21">
        <f>J458+J523</f>
        <v>13247.57</v>
      </c>
      <c r="K582" s="109">
        <f>K458+K523</f>
        <v>0</v>
      </c>
      <c r="L582" s="494"/>
      <c r="M582" s="112"/>
      <c r="N582" s="495"/>
    </row>
    <row r="583" spans="1:14" ht="27" customHeight="1">
      <c r="A583" s="497" t="s">
        <v>343</v>
      </c>
      <c r="B583" s="497"/>
      <c r="C583" s="497"/>
      <c r="D583" s="497"/>
      <c r="E583" s="498"/>
      <c r="F583" s="498"/>
      <c r="G583" s="498"/>
      <c r="H583" s="498"/>
      <c r="I583" s="498"/>
      <c r="J583" s="499"/>
      <c r="K583" s="498"/>
      <c r="L583" s="498"/>
      <c r="M583" s="500"/>
      <c r="N583" s="501"/>
    </row>
    <row r="584" spans="1:14" ht="29.25" customHeight="1">
      <c r="A584" s="502" t="s">
        <v>344</v>
      </c>
      <c r="B584" s="503"/>
      <c r="C584" s="504"/>
      <c r="D584" s="504"/>
      <c r="E584" s="504"/>
      <c r="F584" s="504"/>
      <c r="G584" s="504"/>
      <c r="H584" s="504"/>
      <c r="I584" s="504"/>
      <c r="J584" s="505"/>
      <c r="K584" s="504"/>
      <c r="L584" s="506"/>
      <c r="M584" s="507"/>
      <c r="N584" s="508"/>
    </row>
    <row r="585" spans="1:14" ht="27" customHeight="1">
      <c r="A585" s="502" t="s">
        <v>345</v>
      </c>
      <c r="B585" s="509"/>
      <c r="C585" s="504"/>
      <c r="D585" s="504"/>
      <c r="E585" s="504"/>
      <c r="F585" s="504"/>
      <c r="G585" s="504"/>
      <c r="H585" s="504"/>
      <c r="I585" s="504"/>
      <c r="J585" s="505"/>
      <c r="K585" s="510"/>
      <c r="L585" s="307"/>
      <c r="M585" s="112"/>
      <c r="N585" s="113"/>
    </row>
    <row r="586" spans="1:14" ht="49.5" customHeight="1">
      <c r="A586" s="108" t="s">
        <v>346</v>
      </c>
      <c r="B586" s="511" t="s">
        <v>347</v>
      </c>
      <c r="C586" s="389"/>
      <c r="D586" s="18">
        <v>2017</v>
      </c>
      <c r="E586" s="52">
        <f aca="true" t="shared" si="94" ref="E586:E589">F586+G586+J586+K586</f>
        <v>200580.416</v>
      </c>
      <c r="F586" s="52">
        <f>F587+F588+F589+F591+F592+F593+F594</f>
        <v>124615.2</v>
      </c>
      <c r="G586" s="512">
        <f aca="true" t="shared" si="95" ref="G586:G589">H586+I586</f>
        <v>727</v>
      </c>
      <c r="H586" s="512">
        <f>H587+H588+H589+H591+H592+H593+H594</f>
        <v>0</v>
      </c>
      <c r="I586" s="512">
        <f>I587+I588+I589+I591+I592+I593+I594</f>
        <v>727</v>
      </c>
      <c r="J586" s="21">
        <f>J587+J588+J589+J591+J592+J593+J594</f>
        <v>75238.216</v>
      </c>
      <c r="K586" s="512">
        <f>K587+K588+K589+K591+K592+K593+K594</f>
        <v>0</v>
      </c>
      <c r="L586" s="307"/>
      <c r="M586" s="112" t="s">
        <v>348</v>
      </c>
      <c r="N586" s="113"/>
    </row>
    <row r="587" spans="1:14" ht="27" customHeight="1">
      <c r="A587" s="108"/>
      <c r="B587" s="511"/>
      <c r="C587" s="389"/>
      <c r="D587" s="513"/>
      <c r="E587" s="52">
        <f t="shared" si="94"/>
        <v>64776.86</v>
      </c>
      <c r="F587" s="115">
        <v>54731.8</v>
      </c>
      <c r="G587" s="514">
        <f t="shared" si="95"/>
        <v>0</v>
      </c>
      <c r="H587" s="115"/>
      <c r="I587" s="115"/>
      <c r="J587" s="116">
        <v>10045.06</v>
      </c>
      <c r="K587" s="515">
        <v>0</v>
      </c>
      <c r="L587" s="111" t="s">
        <v>153</v>
      </c>
      <c r="M587" s="112"/>
      <c r="N587" s="113"/>
    </row>
    <row r="588" spans="1:14" ht="27" customHeight="1">
      <c r="A588" s="108"/>
      <c r="B588" s="516"/>
      <c r="C588" s="517"/>
      <c r="D588" s="23"/>
      <c r="E588" s="52">
        <f t="shared" si="94"/>
        <v>20018.813</v>
      </c>
      <c r="F588" s="115"/>
      <c r="G588" s="514">
        <f t="shared" si="95"/>
        <v>0</v>
      </c>
      <c r="H588" s="115"/>
      <c r="I588" s="115"/>
      <c r="J588" s="116">
        <v>20018.813</v>
      </c>
      <c r="K588" s="515">
        <v>0</v>
      </c>
      <c r="L588" s="111" t="s">
        <v>154</v>
      </c>
      <c r="M588" s="112"/>
      <c r="N588" s="113"/>
    </row>
    <row r="589" spans="1:14" ht="27" customHeight="1">
      <c r="A589" s="108"/>
      <c r="B589" s="518"/>
      <c r="C589" s="389"/>
      <c r="D589" s="23"/>
      <c r="E589" s="52">
        <f t="shared" si="94"/>
        <v>13226.366</v>
      </c>
      <c r="F589" s="115"/>
      <c r="G589" s="514">
        <f t="shared" si="95"/>
        <v>0</v>
      </c>
      <c r="H589" s="115"/>
      <c r="I589" s="115"/>
      <c r="J589" s="116">
        <v>13226.366</v>
      </c>
      <c r="K589" s="515">
        <v>0</v>
      </c>
      <c r="L589" s="111" t="s">
        <v>155</v>
      </c>
      <c r="M589" s="112"/>
      <c r="N589" s="113"/>
    </row>
    <row r="590" spans="1:14" ht="27" customHeight="1">
      <c r="A590" s="108"/>
      <c r="B590" s="389"/>
      <c r="C590" s="389"/>
      <c r="D590" s="23"/>
      <c r="E590" s="52"/>
      <c r="F590" s="115"/>
      <c r="G590" s="514"/>
      <c r="H590" s="115"/>
      <c r="I590" s="115"/>
      <c r="J590" s="116"/>
      <c r="K590" s="515"/>
      <c r="L590" s="111"/>
      <c r="M590" s="112"/>
      <c r="N590" s="113"/>
    </row>
    <row r="591" spans="1:14" ht="27" customHeight="1">
      <c r="A591" s="108"/>
      <c r="B591" s="389"/>
      <c r="C591" s="389"/>
      <c r="D591" s="23"/>
      <c r="E591" s="52">
        <f aca="true" t="shared" si="96" ref="E591:E643">F591+G591+J591+K591</f>
        <v>77631.458</v>
      </c>
      <c r="F591" s="115">
        <v>69883.4</v>
      </c>
      <c r="G591" s="514">
        <f aca="true" t="shared" si="97" ref="G591:G595">H591+I591</f>
        <v>0</v>
      </c>
      <c r="H591" s="115"/>
      <c r="I591" s="115"/>
      <c r="J591" s="116">
        <v>7748.058</v>
      </c>
      <c r="K591" s="515">
        <v>0</v>
      </c>
      <c r="L591" s="111" t="s">
        <v>26</v>
      </c>
      <c r="M591" s="112"/>
      <c r="N591" s="113"/>
    </row>
    <row r="592" spans="1:14" ht="29.25" customHeight="1">
      <c r="A592" s="108"/>
      <c r="B592" s="389"/>
      <c r="C592" s="389"/>
      <c r="D592" s="23"/>
      <c r="E592" s="52">
        <f t="shared" si="96"/>
        <v>8225.922</v>
      </c>
      <c r="F592" s="53"/>
      <c r="G592" s="514">
        <f t="shared" si="97"/>
        <v>0</v>
      </c>
      <c r="H592" s="115"/>
      <c r="I592" s="115"/>
      <c r="J592" s="116">
        <v>8225.922</v>
      </c>
      <c r="K592" s="515">
        <v>0</v>
      </c>
      <c r="L592" s="111" t="s">
        <v>27</v>
      </c>
      <c r="M592" s="112"/>
      <c r="N592" s="113"/>
    </row>
    <row r="593" spans="1:14" ht="32.25" customHeight="1">
      <c r="A593" s="108"/>
      <c r="B593" s="389"/>
      <c r="C593" s="389"/>
      <c r="D593" s="23"/>
      <c r="E593" s="52">
        <f t="shared" si="96"/>
        <v>11386.085</v>
      </c>
      <c r="F593" s="53"/>
      <c r="G593" s="514">
        <f t="shared" si="97"/>
        <v>0</v>
      </c>
      <c r="H593" s="115"/>
      <c r="I593" s="115"/>
      <c r="J593" s="116">
        <v>11386.085</v>
      </c>
      <c r="K593" s="515">
        <v>0</v>
      </c>
      <c r="L593" s="111" t="s">
        <v>102</v>
      </c>
      <c r="M593" s="112"/>
      <c r="N593" s="113"/>
    </row>
    <row r="594" spans="1:14" ht="54" customHeight="1">
      <c r="A594" s="108"/>
      <c r="B594" s="389"/>
      <c r="C594" s="389"/>
      <c r="D594" s="23"/>
      <c r="E594" s="52">
        <f t="shared" si="96"/>
        <v>5314.912</v>
      </c>
      <c r="F594" s="53"/>
      <c r="G594" s="514">
        <f t="shared" si="97"/>
        <v>727</v>
      </c>
      <c r="H594" s="115">
        <v>0</v>
      </c>
      <c r="I594" s="115">
        <v>727</v>
      </c>
      <c r="J594" s="116">
        <f>5287.912-700</f>
        <v>4587.912</v>
      </c>
      <c r="K594" s="515">
        <v>0</v>
      </c>
      <c r="L594" s="111" t="s">
        <v>349</v>
      </c>
      <c r="M594" s="112"/>
      <c r="N594" s="113"/>
    </row>
    <row r="595" spans="1:14" ht="75" customHeight="1">
      <c r="A595" s="108"/>
      <c r="B595" s="389"/>
      <c r="C595" s="389"/>
      <c r="D595" s="23">
        <v>2017</v>
      </c>
      <c r="E595" s="52">
        <f t="shared" si="96"/>
        <v>16200</v>
      </c>
      <c r="F595" s="114"/>
      <c r="G595" s="114">
        <f t="shared" si="97"/>
        <v>0</v>
      </c>
      <c r="H595" s="114">
        <v>0</v>
      </c>
      <c r="I595" s="114">
        <v>0</v>
      </c>
      <c r="J595" s="116">
        <v>16200</v>
      </c>
      <c r="K595" s="114">
        <v>0</v>
      </c>
      <c r="L595" s="111" t="s">
        <v>350</v>
      </c>
      <c r="M595" s="112"/>
      <c r="N595" s="113"/>
    </row>
    <row r="596" spans="1:14" ht="27" customHeight="1" hidden="1">
      <c r="A596" s="108"/>
      <c r="B596" s="389"/>
      <c r="C596" s="519"/>
      <c r="D596" s="23"/>
      <c r="E596" s="52">
        <f t="shared" si="96"/>
        <v>0</v>
      </c>
      <c r="F596" s="114"/>
      <c r="G596" s="114"/>
      <c r="H596" s="114"/>
      <c r="I596" s="114"/>
      <c r="J596" s="116"/>
      <c r="K596" s="115"/>
      <c r="L596" s="97"/>
      <c r="M596" s="112"/>
      <c r="N596" s="113"/>
    </row>
    <row r="597" spans="1:14" ht="24.75" customHeight="1">
      <c r="A597" s="520" t="s">
        <v>351</v>
      </c>
      <c r="B597" s="521" t="s">
        <v>352</v>
      </c>
      <c r="C597" s="522"/>
      <c r="D597" s="23">
        <v>2018</v>
      </c>
      <c r="E597" s="52">
        <f t="shared" si="96"/>
        <v>209116.99978</v>
      </c>
      <c r="F597" s="52">
        <f>SUM(F598:F604)</f>
        <v>137344.5</v>
      </c>
      <c r="G597" s="52">
        <f aca="true" t="shared" si="98" ref="G597:G604">H597+I597</f>
        <v>1006.9820000000001</v>
      </c>
      <c r="H597" s="52">
        <f>H598+H599+H600+H601+H602+H603+H604</f>
        <v>0</v>
      </c>
      <c r="I597" s="52">
        <f>SUM(I598:I604)</f>
        <v>1006.9820000000001</v>
      </c>
      <c r="J597" s="21">
        <f>J598+J599+J600+J601+J602+J603+J604</f>
        <v>70765.51778000001</v>
      </c>
      <c r="K597" s="114">
        <v>0</v>
      </c>
      <c r="L597" s="97"/>
      <c r="M597" s="112"/>
      <c r="N597" s="113"/>
    </row>
    <row r="598" spans="1:14" ht="24.75" customHeight="1">
      <c r="A598" s="520"/>
      <c r="B598" s="521"/>
      <c r="C598" s="522"/>
      <c r="D598" s="23"/>
      <c r="E598" s="52">
        <f t="shared" si="96"/>
        <v>23993.106</v>
      </c>
      <c r="F598" s="53">
        <f>13666.243+401.723+232.4</f>
        <v>14300.366</v>
      </c>
      <c r="G598" s="52">
        <f t="shared" si="98"/>
        <v>0</v>
      </c>
      <c r="H598" s="53"/>
      <c r="I598" s="523"/>
      <c r="J598" s="21">
        <f>9852.084+390.21-2100+341.676+175.77+33+1000</f>
        <v>9692.74</v>
      </c>
      <c r="K598" s="115">
        <v>0</v>
      </c>
      <c r="L598" s="111" t="s">
        <v>153</v>
      </c>
      <c r="M598" s="112"/>
      <c r="N598" s="113"/>
    </row>
    <row r="599" spans="1:14" ht="24.75" customHeight="1">
      <c r="A599" s="520"/>
      <c r="B599" s="521"/>
      <c r="C599" s="522"/>
      <c r="D599" s="23"/>
      <c r="E599" s="52">
        <f t="shared" si="96"/>
        <v>50093.08377</v>
      </c>
      <c r="F599" s="53">
        <f>29992.565+858.854</f>
        <v>30851.418999999998</v>
      </c>
      <c r="G599" s="52">
        <f t="shared" si="98"/>
        <v>0</v>
      </c>
      <c r="H599" s="53"/>
      <c r="I599" s="523"/>
      <c r="J599" s="21">
        <f>20130.966+919.02-4300+766.8+389.718+170+1165.16077</f>
        <v>19241.66477</v>
      </c>
      <c r="K599" s="115">
        <v>0</v>
      </c>
      <c r="L599" s="111" t="s">
        <v>154</v>
      </c>
      <c r="M599" s="112"/>
      <c r="N599" s="113"/>
    </row>
    <row r="600" spans="1:14" ht="24.75" customHeight="1">
      <c r="A600" s="520"/>
      <c r="B600" s="521"/>
      <c r="C600" s="522"/>
      <c r="D600" s="23"/>
      <c r="E600" s="52">
        <f t="shared" si="96"/>
        <v>28049.476</v>
      </c>
      <c r="F600" s="53">
        <f>14985.192+401.723</f>
        <v>15386.914999999999</v>
      </c>
      <c r="G600" s="52">
        <f t="shared" si="98"/>
        <v>0</v>
      </c>
      <c r="H600" s="53"/>
      <c r="I600" s="523"/>
      <c r="J600" s="21">
        <f>13529.638+429.793-2900+367.83+195.3+40+1000</f>
        <v>12662.561</v>
      </c>
      <c r="K600" s="115">
        <v>0</v>
      </c>
      <c r="L600" s="111" t="s">
        <v>155</v>
      </c>
      <c r="M600" s="112"/>
      <c r="N600" s="113"/>
    </row>
    <row r="601" spans="1:14" ht="24.75" customHeight="1">
      <c r="A601" s="520"/>
      <c r="B601" s="521"/>
      <c r="C601" s="522"/>
      <c r="D601" s="23"/>
      <c r="E601" s="52">
        <f t="shared" si="96"/>
        <v>42507.873999999996</v>
      </c>
      <c r="F601" s="53">
        <f>30680.494+2764.647+1578.681</f>
        <v>35023.82199999999</v>
      </c>
      <c r="G601" s="52">
        <f t="shared" si="98"/>
        <v>0</v>
      </c>
      <c r="H601" s="53"/>
      <c r="I601" s="523"/>
      <c r="J601" s="21">
        <f>8048.81-1700+345.242-210+1000</f>
        <v>7484.052000000001</v>
      </c>
      <c r="K601" s="115">
        <v>0</v>
      </c>
      <c r="L601" s="111" t="s">
        <v>26</v>
      </c>
      <c r="M601" s="112"/>
      <c r="N601" s="113"/>
    </row>
    <row r="602" spans="1:14" ht="24.75" customHeight="1">
      <c r="A602" s="520"/>
      <c r="B602" s="521"/>
      <c r="C602" s="522"/>
      <c r="D602" s="23"/>
      <c r="E602" s="52">
        <f t="shared" si="96"/>
        <v>50010.63799999999</v>
      </c>
      <c r="F602" s="53">
        <f>39719.506+177.753+1884.719</f>
        <v>41781.977999999996</v>
      </c>
      <c r="G602" s="52">
        <f t="shared" si="98"/>
        <v>0</v>
      </c>
      <c r="H602" s="53"/>
      <c r="I602" s="523"/>
      <c r="J602" s="21">
        <f>8631.55-1800+397.11+1000</f>
        <v>8228.66</v>
      </c>
      <c r="K602" s="115">
        <v>0</v>
      </c>
      <c r="L602" s="111" t="s">
        <v>27</v>
      </c>
      <c r="M602" s="112"/>
      <c r="N602" s="113"/>
    </row>
    <row r="603" spans="1:14" ht="24.75" customHeight="1">
      <c r="A603" s="520"/>
      <c r="B603" s="521"/>
      <c r="C603" s="522"/>
      <c r="D603" s="23"/>
      <c r="E603" s="52">
        <f t="shared" si="96"/>
        <v>9699.46648</v>
      </c>
      <c r="F603" s="52"/>
      <c r="G603" s="52">
        <f t="shared" si="98"/>
        <v>1006.9820000000001</v>
      </c>
      <c r="H603" s="53">
        <v>0</v>
      </c>
      <c r="I603" s="53">
        <f>607.273+227.345+172.364</f>
        <v>1006.9820000000001</v>
      </c>
      <c r="J603" s="21">
        <f>10509.141+105.556-2200-617.733+133+762.52048</f>
        <v>8692.48448</v>
      </c>
      <c r="K603" s="115">
        <v>0</v>
      </c>
      <c r="L603" s="111" t="s">
        <v>102</v>
      </c>
      <c r="M603" s="112"/>
      <c r="N603" s="113"/>
    </row>
    <row r="604" spans="1:14" ht="35.25" customHeight="1">
      <c r="A604" s="520"/>
      <c r="B604" s="521"/>
      <c r="C604" s="522"/>
      <c r="D604" s="23"/>
      <c r="E604" s="52">
        <f t="shared" si="96"/>
        <v>4763.355530000001</v>
      </c>
      <c r="F604" s="52"/>
      <c r="G604" s="52">
        <f t="shared" si="98"/>
        <v>0</v>
      </c>
      <c r="H604" s="53"/>
      <c r="I604" s="53">
        <v>0</v>
      </c>
      <c r="J604" s="21">
        <f>4700.622+104.16-92.24918+50.82271</f>
        <v>4763.355530000001</v>
      </c>
      <c r="K604" s="115">
        <v>0</v>
      </c>
      <c r="L604" s="111" t="s">
        <v>353</v>
      </c>
      <c r="M604" s="112"/>
      <c r="N604" s="113"/>
    </row>
    <row r="605" spans="1:14" ht="24.75" customHeight="1">
      <c r="A605" s="520"/>
      <c r="B605" s="521"/>
      <c r="C605" s="522"/>
      <c r="D605" s="23">
        <v>2018</v>
      </c>
      <c r="E605" s="52">
        <f t="shared" si="96"/>
        <v>0</v>
      </c>
      <c r="F605" s="52">
        <f>SUM(F606:F610)</f>
        <v>0</v>
      </c>
      <c r="G605" s="52">
        <f>SUM(G606:G610)</f>
        <v>0</v>
      </c>
      <c r="H605" s="52">
        <f>SUM(H606:H610)</f>
        <v>0</v>
      </c>
      <c r="I605" s="52">
        <f>SUM(I606:I610)</f>
        <v>0</v>
      </c>
      <c r="J605" s="21">
        <f>SUM(J606:J610)</f>
        <v>0</v>
      </c>
      <c r="K605" s="114"/>
      <c r="L605" s="524"/>
      <c r="M605" s="112"/>
      <c r="N605" s="113"/>
    </row>
    <row r="606" spans="1:14" ht="24.75" customHeight="1">
      <c r="A606" s="520"/>
      <c r="B606" s="521"/>
      <c r="C606" s="522"/>
      <c r="D606" s="23"/>
      <c r="E606" s="52">
        <f t="shared" si="96"/>
        <v>0</v>
      </c>
      <c r="F606" s="141"/>
      <c r="G606" s="52">
        <f aca="true" t="shared" si="99" ref="G606:G620">H606+I606</f>
        <v>0</v>
      </c>
      <c r="H606" s="53"/>
      <c r="I606" s="53"/>
      <c r="J606" s="21">
        <v>0</v>
      </c>
      <c r="K606" s="115"/>
      <c r="L606" s="111" t="s">
        <v>153</v>
      </c>
      <c r="M606" s="112"/>
      <c r="N606" s="113"/>
    </row>
    <row r="607" spans="1:14" ht="24.75" customHeight="1">
      <c r="A607" s="520"/>
      <c r="B607" s="521"/>
      <c r="C607" s="522"/>
      <c r="D607" s="23"/>
      <c r="E607" s="52">
        <f t="shared" si="96"/>
        <v>0</v>
      </c>
      <c r="F607" s="141"/>
      <c r="G607" s="52">
        <f t="shared" si="99"/>
        <v>0</v>
      </c>
      <c r="H607" s="53"/>
      <c r="I607" s="53"/>
      <c r="J607" s="21">
        <v>0</v>
      </c>
      <c r="K607" s="115"/>
      <c r="L607" s="111" t="s">
        <v>154</v>
      </c>
      <c r="M607" s="112"/>
      <c r="N607" s="113"/>
    </row>
    <row r="608" spans="1:14" ht="24.75" customHeight="1">
      <c r="A608" s="520"/>
      <c r="B608" s="521"/>
      <c r="C608" s="522"/>
      <c r="D608" s="23"/>
      <c r="E608" s="52">
        <f t="shared" si="96"/>
        <v>0</v>
      </c>
      <c r="F608" s="141"/>
      <c r="G608" s="52">
        <f t="shared" si="99"/>
        <v>0</v>
      </c>
      <c r="H608" s="53"/>
      <c r="I608" s="53"/>
      <c r="J608" s="21">
        <v>0</v>
      </c>
      <c r="K608" s="115"/>
      <c r="L608" s="111" t="s">
        <v>155</v>
      </c>
      <c r="M608" s="112"/>
      <c r="N608" s="113"/>
    </row>
    <row r="609" spans="1:14" ht="24.75" customHeight="1">
      <c r="A609" s="520"/>
      <c r="B609" s="521"/>
      <c r="C609" s="522"/>
      <c r="D609" s="23"/>
      <c r="E609" s="52">
        <f t="shared" si="96"/>
        <v>0</v>
      </c>
      <c r="F609" s="141"/>
      <c r="G609" s="52">
        <f t="shared" si="99"/>
        <v>0</v>
      </c>
      <c r="H609" s="53"/>
      <c r="I609" s="53"/>
      <c r="J609" s="21">
        <v>0</v>
      </c>
      <c r="K609" s="115"/>
      <c r="L609" s="111" t="s">
        <v>26</v>
      </c>
      <c r="M609" s="112"/>
      <c r="N609" s="113"/>
    </row>
    <row r="610" spans="1:14" ht="24.75" customHeight="1">
      <c r="A610" s="520"/>
      <c r="B610" s="521"/>
      <c r="C610" s="522"/>
      <c r="D610" s="23"/>
      <c r="E610" s="70">
        <f t="shared" si="96"/>
        <v>0</v>
      </c>
      <c r="F610" s="142"/>
      <c r="G610" s="70">
        <f t="shared" si="99"/>
        <v>0</v>
      </c>
      <c r="H610" s="71"/>
      <c r="I610" s="71"/>
      <c r="J610" s="265">
        <v>0</v>
      </c>
      <c r="K610" s="189"/>
      <c r="L610" s="525" t="s">
        <v>27</v>
      </c>
      <c r="M610" s="112"/>
      <c r="N610" s="113"/>
    </row>
    <row r="611" spans="1:14" ht="24.75" customHeight="1">
      <c r="A611" s="520"/>
      <c r="B611" s="521"/>
      <c r="C611" s="522"/>
      <c r="D611" s="64">
        <v>2019</v>
      </c>
      <c r="E611" s="171">
        <f t="shared" si="96"/>
        <v>229770.53044</v>
      </c>
      <c r="F611" s="172">
        <f>SUM(F612:F620)</f>
        <v>150533.8</v>
      </c>
      <c r="G611" s="172">
        <f t="shared" si="99"/>
        <v>1276.052</v>
      </c>
      <c r="H611" s="172">
        <f>H612+H613+H614+H615+H616+H618+H620</f>
        <v>0</v>
      </c>
      <c r="I611" s="172">
        <f>I612+I613+I614+I615+I616+I618+I620</f>
        <v>1276.052</v>
      </c>
      <c r="J611" s="173">
        <f>SUM(J612:J620)</f>
        <v>77960.67844</v>
      </c>
      <c r="K611" s="172">
        <f>SUM(K612:K620)</f>
        <v>0</v>
      </c>
      <c r="L611" s="526"/>
      <c r="M611" s="112"/>
      <c r="N611" s="113"/>
    </row>
    <row r="612" spans="1:14" ht="24.75" customHeight="1">
      <c r="A612" s="520"/>
      <c r="B612" s="521"/>
      <c r="C612" s="522"/>
      <c r="D612" s="64"/>
      <c r="E612" s="176">
        <f t="shared" si="96"/>
        <v>24241.684</v>
      </c>
      <c r="F612" s="176">
        <f>13252.661+1120.6</f>
        <v>14373.261</v>
      </c>
      <c r="G612" s="176">
        <f t="shared" si="99"/>
        <v>0</v>
      </c>
      <c r="H612" s="176"/>
      <c r="I612" s="176"/>
      <c r="J612" s="177">
        <f>9770.96256+1.65244--30+65.808</f>
        <v>9868.423</v>
      </c>
      <c r="K612" s="176">
        <v>0</v>
      </c>
      <c r="L612" s="527" t="s">
        <v>153</v>
      </c>
      <c r="M612" s="112"/>
      <c r="N612" s="113"/>
    </row>
    <row r="613" spans="1:14" ht="24.75" customHeight="1">
      <c r="A613" s="520"/>
      <c r="B613" s="521"/>
      <c r="C613" s="522"/>
      <c r="D613" s="64"/>
      <c r="E613" s="115">
        <f t="shared" si="96"/>
        <v>49871.14725</v>
      </c>
      <c r="F613" s="115">
        <f>29522.977-533.6</f>
        <v>28989.377</v>
      </c>
      <c r="G613" s="115">
        <f t="shared" si="99"/>
        <v>0</v>
      </c>
      <c r="H613" s="115"/>
      <c r="I613" s="115"/>
      <c r="J613" s="116">
        <f>20596.83525-30+314.935</f>
        <v>20881.77025</v>
      </c>
      <c r="K613" s="115">
        <v>0</v>
      </c>
      <c r="L613" s="111" t="s">
        <v>154</v>
      </c>
      <c r="M613" s="112"/>
      <c r="N613" s="113"/>
    </row>
    <row r="614" spans="1:14" ht="24.75" customHeight="1">
      <c r="A614" s="520"/>
      <c r="B614" s="521"/>
      <c r="C614" s="522"/>
      <c r="D614" s="64"/>
      <c r="E614" s="115">
        <f t="shared" si="96"/>
        <v>29872.57956</v>
      </c>
      <c r="F614" s="115">
        <f>15424.362+117.4</f>
        <v>15541.761999999999</v>
      </c>
      <c r="G614" s="115">
        <f t="shared" si="99"/>
        <v>0</v>
      </c>
      <c r="H614" s="115"/>
      <c r="I614" s="115"/>
      <c r="J614" s="116">
        <f>12530.84+998.142-1.65244+803.488</f>
        <v>14330.81756</v>
      </c>
      <c r="K614" s="115">
        <v>0</v>
      </c>
      <c r="L614" s="111" t="s">
        <v>155</v>
      </c>
      <c r="M614" s="112"/>
      <c r="N614" s="113"/>
    </row>
    <row r="615" spans="1:14" ht="24.75" customHeight="1">
      <c r="A615" s="520"/>
      <c r="B615" s="521"/>
      <c r="C615" s="522"/>
      <c r="D615" s="64"/>
      <c r="E615" s="115">
        <f t="shared" si="96"/>
        <v>49171.80562000001</v>
      </c>
      <c r="F615" s="115">
        <f>39746.014+486.427+1812.116</f>
        <v>42044.55700000001</v>
      </c>
      <c r="G615" s="115">
        <f t="shared" si="99"/>
        <v>0</v>
      </c>
      <c r="H615" s="115"/>
      <c r="I615" s="115"/>
      <c r="J615" s="116">
        <f>6993.76062+133.488</f>
        <v>7127.24862</v>
      </c>
      <c r="K615" s="115">
        <v>0</v>
      </c>
      <c r="L615" s="111" t="s">
        <v>26</v>
      </c>
      <c r="M615" s="112"/>
      <c r="N615" s="113"/>
    </row>
    <row r="616" spans="1:14" ht="24.75" customHeight="1">
      <c r="A616" s="520"/>
      <c r="B616" s="521"/>
      <c r="C616" s="522"/>
      <c r="D616" s="64"/>
      <c r="E616" s="115">
        <f t="shared" si="96"/>
        <v>57432.95017</v>
      </c>
      <c r="F616" s="115">
        <f>46911.986+528.073+2144.784</f>
        <v>49584.84299999999</v>
      </c>
      <c r="G616" s="115">
        <f t="shared" si="99"/>
        <v>0</v>
      </c>
      <c r="H616" s="115"/>
      <c r="I616" s="115"/>
      <c r="J616" s="116">
        <f>7595.99717+252.11</f>
        <v>7848.107169999999</v>
      </c>
      <c r="K616" s="115">
        <v>0</v>
      </c>
      <c r="L616" s="111" t="s">
        <v>27</v>
      </c>
      <c r="M616" s="112"/>
      <c r="N616" s="113"/>
    </row>
    <row r="617" spans="1:14" ht="41.25" customHeight="1">
      <c r="A617" s="520"/>
      <c r="B617" s="521"/>
      <c r="C617" s="522"/>
      <c r="D617" s="64"/>
      <c r="E617" s="115">
        <f t="shared" si="96"/>
        <v>5966.100090000001</v>
      </c>
      <c r="F617" s="115">
        <v>0</v>
      </c>
      <c r="G617" s="115">
        <f t="shared" si="99"/>
        <v>0</v>
      </c>
      <c r="H617" s="115"/>
      <c r="I617" s="115"/>
      <c r="J617" s="116">
        <f>4712.3+667.168+264.33597+127.27612+136.43+58.59</f>
        <v>5966.100090000001</v>
      </c>
      <c r="K617" s="115">
        <v>0</v>
      </c>
      <c r="L617" s="97" t="s">
        <v>354</v>
      </c>
      <c r="M617" s="112"/>
      <c r="N617" s="113"/>
    </row>
    <row r="618" spans="1:14" ht="45" customHeight="1">
      <c r="A618" s="520"/>
      <c r="B618" s="521"/>
      <c r="C618" s="522"/>
      <c r="D618" s="64"/>
      <c r="E618" s="115">
        <f t="shared" si="96"/>
        <v>5395.09146</v>
      </c>
      <c r="F618" s="115">
        <v>0</v>
      </c>
      <c r="G618" s="115">
        <f t="shared" si="99"/>
        <v>0</v>
      </c>
      <c r="H618" s="115"/>
      <c r="I618" s="115"/>
      <c r="J618" s="116">
        <f>5746.63146-351.54</f>
        <v>5395.09146</v>
      </c>
      <c r="K618" s="115">
        <v>0</v>
      </c>
      <c r="L618" s="97" t="s">
        <v>355</v>
      </c>
      <c r="M618" s="112"/>
      <c r="N618" s="113"/>
    </row>
    <row r="619" spans="1:14" ht="53.25" customHeight="1">
      <c r="A619" s="520"/>
      <c r="B619" s="521"/>
      <c r="C619" s="522"/>
      <c r="D619" s="64"/>
      <c r="E619" s="115">
        <f t="shared" si="96"/>
        <v>59.5</v>
      </c>
      <c r="F619" s="115">
        <v>0</v>
      </c>
      <c r="G619" s="115">
        <f t="shared" si="99"/>
        <v>0</v>
      </c>
      <c r="H619" s="115"/>
      <c r="I619" s="115"/>
      <c r="J619" s="116">
        <v>59.5</v>
      </c>
      <c r="K619" s="115">
        <v>0</v>
      </c>
      <c r="L619" s="97" t="s">
        <v>356</v>
      </c>
      <c r="M619" s="112"/>
      <c r="N619" s="113"/>
    </row>
    <row r="620" spans="1:14" ht="46.5" customHeight="1">
      <c r="A620" s="520"/>
      <c r="B620" s="521"/>
      <c r="C620" s="528"/>
      <c r="D620" s="64"/>
      <c r="E620" s="189">
        <f t="shared" si="96"/>
        <v>7759.672289999999</v>
      </c>
      <c r="F620" s="189">
        <v>0</v>
      </c>
      <c r="G620" s="189">
        <f t="shared" si="99"/>
        <v>1276.052</v>
      </c>
      <c r="H620" s="189"/>
      <c r="I620" s="189">
        <f>1139.636+136.416</f>
        <v>1276.052</v>
      </c>
      <c r="J620" s="190">
        <f>5849.69929-59.5+585.9+107.521</f>
        <v>6483.620289999999</v>
      </c>
      <c r="K620" s="189">
        <v>0</v>
      </c>
      <c r="L620" s="312" t="s">
        <v>357</v>
      </c>
      <c r="M620" s="112"/>
      <c r="N620" s="113"/>
    </row>
    <row r="621" spans="1:14" ht="27" customHeight="1">
      <c r="A621" s="520"/>
      <c r="B621" s="521"/>
      <c r="C621" s="528"/>
      <c r="D621" s="529">
        <v>2020</v>
      </c>
      <c r="E621" s="171">
        <f t="shared" si="96"/>
        <v>235602.07301</v>
      </c>
      <c r="F621" s="172">
        <f>SUM(F622:F630)</f>
        <v>151107</v>
      </c>
      <c r="G621" s="172">
        <f>SUM(G622:G630)</f>
        <v>1271</v>
      </c>
      <c r="H621" s="172">
        <f>SUM(H622:H630)</f>
        <v>0</v>
      </c>
      <c r="I621" s="172">
        <f>SUM(I622:I630)</f>
        <v>1271</v>
      </c>
      <c r="J621" s="173">
        <f>SUM(J622:J630)</f>
        <v>83224.07301</v>
      </c>
      <c r="K621" s="172">
        <f>SUM(K622:K630)</f>
        <v>0</v>
      </c>
      <c r="L621" s="530"/>
      <c r="M621" s="112"/>
      <c r="N621" s="113"/>
    </row>
    <row r="622" spans="1:14" ht="33.75" customHeight="1">
      <c r="A622" s="520"/>
      <c r="B622" s="521"/>
      <c r="C622" s="528"/>
      <c r="D622" s="529"/>
      <c r="E622" s="176">
        <f t="shared" si="96"/>
        <v>24429.962</v>
      </c>
      <c r="F622" s="176">
        <f>14700-1292.529</f>
        <v>13407.471</v>
      </c>
      <c r="G622" s="176">
        <f aca="true" t="shared" si="100" ref="G622:G627">H622+I622</f>
        <v>0</v>
      </c>
      <c r="H622" s="176"/>
      <c r="I622" s="176"/>
      <c r="J622" s="62">
        <f>10684.932+359.399-21.84</f>
        <v>11022.491</v>
      </c>
      <c r="K622" s="176">
        <v>0</v>
      </c>
      <c r="L622" s="327" t="s">
        <v>358</v>
      </c>
      <c r="M622" s="112"/>
      <c r="N622" s="113"/>
    </row>
    <row r="623" spans="1:14" ht="39.75" customHeight="1">
      <c r="A623" s="520"/>
      <c r="B623" s="521"/>
      <c r="C623" s="528"/>
      <c r="D623" s="529"/>
      <c r="E623" s="115">
        <f t="shared" si="96"/>
        <v>52751.153000000006</v>
      </c>
      <c r="F623" s="115">
        <f>30246-286.376</f>
        <v>29959.624</v>
      </c>
      <c r="G623" s="115">
        <f t="shared" si="100"/>
        <v>0</v>
      </c>
      <c r="H623" s="115"/>
      <c r="I623" s="115"/>
      <c r="J623" s="21">
        <f>21928.883+791.842+200-129.196</f>
        <v>22791.529000000002</v>
      </c>
      <c r="K623" s="115">
        <v>0</v>
      </c>
      <c r="L623" s="48" t="s">
        <v>359</v>
      </c>
      <c r="M623" s="112"/>
      <c r="N623" s="113"/>
    </row>
    <row r="624" spans="1:14" ht="33" customHeight="1">
      <c r="A624" s="520"/>
      <c r="B624" s="521"/>
      <c r="C624" s="528"/>
      <c r="D624" s="529"/>
      <c r="E624" s="115">
        <f t="shared" si="96"/>
        <v>29488.001</v>
      </c>
      <c r="F624" s="115">
        <f>16200-1075.066</f>
        <v>15124.934</v>
      </c>
      <c r="G624" s="115">
        <f t="shared" si="100"/>
        <v>0</v>
      </c>
      <c r="H624" s="115"/>
      <c r="I624" s="115"/>
      <c r="J624" s="21">
        <f>14792.02+385.475-814.428</f>
        <v>14363.067000000001</v>
      </c>
      <c r="K624" s="115">
        <v>0</v>
      </c>
      <c r="L624" s="48" t="s">
        <v>360</v>
      </c>
      <c r="M624" s="112"/>
      <c r="N624" s="113"/>
    </row>
    <row r="625" spans="1:14" ht="27.75" customHeight="1">
      <c r="A625" s="520"/>
      <c r="B625" s="521"/>
      <c r="C625" s="528"/>
      <c r="D625" s="529"/>
      <c r="E625" s="115">
        <f t="shared" si="96"/>
        <v>52028.272</v>
      </c>
      <c r="F625" s="115">
        <f>40601+2420.539+901.952</f>
        <v>43923.490999999995</v>
      </c>
      <c r="G625" s="115">
        <f t="shared" si="100"/>
        <v>0</v>
      </c>
      <c r="H625" s="115"/>
      <c r="I625" s="115"/>
      <c r="J625" s="21">
        <f>7875.425+81.356+148</f>
        <v>8104.781</v>
      </c>
      <c r="K625" s="115">
        <v>0</v>
      </c>
      <c r="L625" s="48" t="s">
        <v>26</v>
      </c>
      <c r="M625" s="112"/>
      <c r="N625" s="113"/>
    </row>
    <row r="626" spans="1:14" ht="27" customHeight="1">
      <c r="A626" s="520"/>
      <c r="B626" s="521"/>
      <c r="C626" s="528"/>
      <c r="D626" s="529"/>
      <c r="E626" s="115">
        <f t="shared" si="96"/>
        <v>56928.04151</v>
      </c>
      <c r="F626" s="115">
        <f>47860+233.432+598.048</f>
        <v>48691.48</v>
      </c>
      <c r="G626" s="115">
        <f t="shared" si="100"/>
        <v>0</v>
      </c>
      <c r="H626" s="115"/>
      <c r="I626" s="115"/>
      <c r="J626" s="21">
        <f>8506.19+110.34-379.96849</f>
        <v>8236.561510000001</v>
      </c>
      <c r="K626" s="115">
        <v>0</v>
      </c>
      <c r="L626" s="48" t="s">
        <v>27</v>
      </c>
      <c r="M626" s="112"/>
      <c r="N626" s="113"/>
    </row>
    <row r="627" spans="1:14" ht="45" customHeight="1">
      <c r="A627" s="520"/>
      <c r="B627" s="521"/>
      <c r="C627" s="528"/>
      <c r="D627" s="529"/>
      <c r="E627" s="115">
        <f t="shared" si="96"/>
        <v>6761.31</v>
      </c>
      <c r="F627" s="115">
        <v>0</v>
      </c>
      <c r="G627" s="115">
        <f t="shared" si="100"/>
        <v>0</v>
      </c>
      <c r="H627" s="115"/>
      <c r="I627" s="115"/>
      <c r="J627" s="21">
        <f>5710.81+1050.5</f>
        <v>6761.31</v>
      </c>
      <c r="K627" s="115">
        <v>0</v>
      </c>
      <c r="L627" s="48" t="s">
        <v>361</v>
      </c>
      <c r="M627" s="112"/>
      <c r="N627" s="113"/>
    </row>
    <row r="628" spans="1:14" ht="40.5" customHeight="1">
      <c r="A628" s="520"/>
      <c r="B628" s="521"/>
      <c r="C628" s="528"/>
      <c r="D628" s="529"/>
      <c r="E628" s="115">
        <f t="shared" si="96"/>
        <v>5709.542</v>
      </c>
      <c r="F628" s="115">
        <v>0</v>
      </c>
      <c r="G628" s="115">
        <v>0</v>
      </c>
      <c r="H628" s="115"/>
      <c r="I628" s="115"/>
      <c r="J628" s="21">
        <v>5709.542</v>
      </c>
      <c r="K628" s="115"/>
      <c r="L628" s="48" t="s">
        <v>362</v>
      </c>
      <c r="M628" s="112"/>
      <c r="N628" s="113"/>
    </row>
    <row r="629" spans="1:14" ht="45.75" customHeight="1">
      <c r="A629" s="520"/>
      <c r="B629" s="521"/>
      <c r="C629" s="528"/>
      <c r="D629" s="529"/>
      <c r="E629" s="115">
        <f t="shared" si="96"/>
        <v>1460.973</v>
      </c>
      <c r="F629" s="115">
        <v>0</v>
      </c>
      <c r="G629" s="189">
        <f aca="true" t="shared" si="101" ref="G629:G643">H629+I629</f>
        <v>1271</v>
      </c>
      <c r="H629" s="115"/>
      <c r="I629" s="115">
        <v>1271</v>
      </c>
      <c r="J629" s="21">
        <f>190-0.127+0.1</f>
        <v>189.97299999999998</v>
      </c>
      <c r="K629" s="115"/>
      <c r="L629" s="48" t="s">
        <v>363</v>
      </c>
      <c r="M629" s="112"/>
      <c r="N629" s="113"/>
    </row>
    <row r="630" spans="1:14" ht="50.25" customHeight="1">
      <c r="A630" s="520"/>
      <c r="B630" s="521"/>
      <c r="C630" s="528"/>
      <c r="D630" s="529"/>
      <c r="E630" s="189">
        <f t="shared" si="96"/>
        <v>6044.8185</v>
      </c>
      <c r="F630" s="189">
        <v>0</v>
      </c>
      <c r="G630" s="189">
        <f t="shared" si="101"/>
        <v>0</v>
      </c>
      <c r="H630" s="189"/>
      <c r="I630" s="189">
        <v>0</v>
      </c>
      <c r="J630" s="265">
        <f>6405.021-360.3295+0.127</f>
        <v>6044.8185</v>
      </c>
      <c r="K630" s="189">
        <v>0</v>
      </c>
      <c r="L630" s="378" t="s">
        <v>364</v>
      </c>
      <c r="M630" s="112"/>
      <c r="N630" s="113"/>
    </row>
    <row r="631" spans="1:14" ht="27" customHeight="1">
      <c r="A631" s="520"/>
      <c r="B631" s="521"/>
      <c r="C631" s="528"/>
      <c r="D631" s="231">
        <v>2021</v>
      </c>
      <c r="E631" s="172">
        <f t="shared" si="96"/>
        <v>240354.62796999997</v>
      </c>
      <c r="F631" s="172">
        <f>SUM(F632:F643)</f>
        <v>157115</v>
      </c>
      <c r="G631" s="172">
        <f t="shared" si="101"/>
        <v>2020.82</v>
      </c>
      <c r="H631" s="172">
        <f>SUM(H632:H643)</f>
        <v>0</v>
      </c>
      <c r="I631" s="172">
        <f>SUM(I632:I643)</f>
        <v>2020.82</v>
      </c>
      <c r="J631" s="173">
        <f>SUM(J632:J643)</f>
        <v>81218.80796999998</v>
      </c>
      <c r="K631" s="172">
        <f>SUM(K632:K643)</f>
        <v>0</v>
      </c>
      <c r="L631" s="530"/>
      <c r="M631" s="112"/>
      <c r="N631" s="113"/>
    </row>
    <row r="632" spans="1:14" ht="46.5" customHeight="1">
      <c r="A632" s="520"/>
      <c r="B632" s="521"/>
      <c r="C632" s="528"/>
      <c r="D632" s="531"/>
      <c r="E632" s="175">
        <f t="shared" si="96"/>
        <v>18789.461</v>
      </c>
      <c r="F632" s="176">
        <f>13489.795+941.205</f>
        <v>14431</v>
      </c>
      <c r="G632" s="176">
        <f t="shared" si="101"/>
        <v>0</v>
      </c>
      <c r="H632" s="176"/>
      <c r="I632" s="176"/>
      <c r="J632" s="177">
        <v>4358.461</v>
      </c>
      <c r="K632" s="176">
        <v>0</v>
      </c>
      <c r="L632" s="327" t="s">
        <v>365</v>
      </c>
      <c r="M632" s="112"/>
      <c r="N632" s="113"/>
    </row>
    <row r="633" spans="1:14" ht="53.25" customHeight="1">
      <c r="A633" s="520"/>
      <c r="B633" s="521"/>
      <c r="C633" s="528"/>
      <c r="D633" s="531"/>
      <c r="E633" s="175">
        <f t="shared" si="96"/>
        <v>6929.08202</v>
      </c>
      <c r="F633" s="176"/>
      <c r="G633" s="176">
        <f t="shared" si="101"/>
        <v>0</v>
      </c>
      <c r="H633" s="176"/>
      <c r="I633" s="176"/>
      <c r="J633" s="177">
        <v>6929.08202</v>
      </c>
      <c r="K633" s="176">
        <v>0</v>
      </c>
      <c r="L633" s="327" t="s">
        <v>366</v>
      </c>
      <c r="M633" s="112"/>
      <c r="N633" s="113"/>
    </row>
    <row r="634" spans="1:14" ht="46.5" customHeight="1">
      <c r="A634" s="520"/>
      <c r="B634" s="521"/>
      <c r="C634" s="528"/>
      <c r="D634" s="228"/>
      <c r="E634" s="114">
        <f t="shared" si="96"/>
        <v>36955.33117</v>
      </c>
      <c r="F634" s="115">
        <f>28778.975+1856.883</f>
        <v>30635.858</v>
      </c>
      <c r="G634" s="115">
        <f t="shared" si="101"/>
        <v>0</v>
      </c>
      <c r="H634" s="115"/>
      <c r="I634" s="115"/>
      <c r="J634" s="116">
        <f>6319.47317</f>
        <v>6319.47317</v>
      </c>
      <c r="K634" s="115">
        <v>0</v>
      </c>
      <c r="L634" s="327" t="s">
        <v>367</v>
      </c>
      <c r="M634" s="112"/>
      <c r="N634" s="113"/>
    </row>
    <row r="635" spans="1:14" ht="46.5" customHeight="1">
      <c r="A635" s="520"/>
      <c r="B635" s="521"/>
      <c r="C635" s="528"/>
      <c r="D635" s="228"/>
      <c r="E635" s="114">
        <f t="shared" si="96"/>
        <v>14706.12309</v>
      </c>
      <c r="F635" s="115"/>
      <c r="G635" s="115">
        <f t="shared" si="101"/>
        <v>0</v>
      </c>
      <c r="H635" s="115"/>
      <c r="I635" s="115"/>
      <c r="J635" s="116">
        <v>14706.12309</v>
      </c>
      <c r="K635" s="115">
        <v>0</v>
      </c>
      <c r="L635" s="327" t="s">
        <v>368</v>
      </c>
      <c r="M635" s="112"/>
      <c r="N635" s="113"/>
    </row>
    <row r="636" spans="1:14" ht="40.5" customHeight="1">
      <c r="A636" s="520"/>
      <c r="B636" s="521"/>
      <c r="C636" s="528"/>
      <c r="D636" s="228"/>
      <c r="E636" s="114">
        <f t="shared" si="96"/>
        <v>22442.943</v>
      </c>
      <c r="F636" s="115">
        <f>14843.739+873.053</f>
        <v>15716.792</v>
      </c>
      <c r="G636" s="115">
        <f t="shared" si="101"/>
        <v>0</v>
      </c>
      <c r="H636" s="115"/>
      <c r="I636" s="115"/>
      <c r="J636" s="116">
        <v>6726.151</v>
      </c>
      <c r="K636" s="115">
        <v>0</v>
      </c>
      <c r="L636" s="327" t="s">
        <v>369</v>
      </c>
      <c r="M636" s="112"/>
      <c r="N636" s="113"/>
    </row>
    <row r="637" spans="1:14" ht="44.25" customHeight="1">
      <c r="A637" s="520"/>
      <c r="B637" s="521"/>
      <c r="C637" s="528"/>
      <c r="D637" s="228"/>
      <c r="E637" s="114">
        <f t="shared" si="96"/>
        <v>7261.42499</v>
      </c>
      <c r="F637" s="115"/>
      <c r="G637" s="115">
        <f t="shared" si="101"/>
        <v>0</v>
      </c>
      <c r="H637" s="115"/>
      <c r="I637" s="115"/>
      <c r="J637" s="116">
        <v>7261.42499</v>
      </c>
      <c r="K637" s="115">
        <v>0</v>
      </c>
      <c r="L637" s="327" t="s">
        <v>370</v>
      </c>
      <c r="M637" s="112"/>
      <c r="N637" s="113"/>
    </row>
    <row r="638" spans="1:14" ht="27" customHeight="1">
      <c r="A638" s="520"/>
      <c r="B638" s="521"/>
      <c r="C638" s="528"/>
      <c r="D638" s="228"/>
      <c r="E638" s="114">
        <f t="shared" si="96"/>
        <v>54099.38432</v>
      </c>
      <c r="F638" s="115">
        <f>43363.554+2969.256</f>
        <v>46332.81</v>
      </c>
      <c r="G638" s="115">
        <f t="shared" si="101"/>
        <v>0</v>
      </c>
      <c r="H638" s="115"/>
      <c r="I638" s="115"/>
      <c r="J638" s="116">
        <v>7766.57432</v>
      </c>
      <c r="K638" s="115">
        <v>0</v>
      </c>
      <c r="L638" s="48" t="s">
        <v>26</v>
      </c>
      <c r="M638" s="112"/>
      <c r="N638" s="113"/>
    </row>
    <row r="639" spans="1:14" ht="27" customHeight="1">
      <c r="A639" s="520"/>
      <c r="B639" s="521"/>
      <c r="C639" s="528"/>
      <c r="D639" s="228"/>
      <c r="E639" s="114">
        <f t="shared" si="96"/>
        <v>59314.28239000001</v>
      </c>
      <c r="F639" s="115">
        <f>46932.581+3065.959</f>
        <v>49998.54</v>
      </c>
      <c r="G639" s="115">
        <f t="shared" si="101"/>
        <v>114.3</v>
      </c>
      <c r="H639" s="115"/>
      <c r="I639" s="115">
        <v>114.3</v>
      </c>
      <c r="J639" s="116">
        <v>9201.44239</v>
      </c>
      <c r="K639" s="115">
        <v>0</v>
      </c>
      <c r="L639" s="48" t="s">
        <v>27</v>
      </c>
      <c r="M639" s="112"/>
      <c r="N639" s="113"/>
    </row>
    <row r="640" spans="1:14" ht="46.5" customHeight="1">
      <c r="A640" s="520"/>
      <c r="B640" s="521"/>
      <c r="C640" s="528"/>
      <c r="D640" s="228"/>
      <c r="E640" s="114">
        <f t="shared" si="96"/>
        <v>5533.60064</v>
      </c>
      <c r="F640" s="115">
        <v>0</v>
      </c>
      <c r="G640" s="115">
        <f t="shared" si="101"/>
        <v>0</v>
      </c>
      <c r="H640" s="115"/>
      <c r="I640" s="115"/>
      <c r="J640" s="116">
        <v>5533.60064</v>
      </c>
      <c r="K640" s="115">
        <v>0</v>
      </c>
      <c r="L640" s="48" t="s">
        <v>371</v>
      </c>
      <c r="M640" s="112"/>
      <c r="N640" s="113"/>
    </row>
    <row r="641" spans="1:14" ht="55.5" customHeight="1">
      <c r="A641" s="520"/>
      <c r="B641" s="521"/>
      <c r="C641" s="528"/>
      <c r="D641" s="228"/>
      <c r="E641" s="114">
        <f t="shared" si="96"/>
        <v>6211.79449</v>
      </c>
      <c r="F641" s="115">
        <v>0</v>
      </c>
      <c r="G641" s="115">
        <f t="shared" si="101"/>
        <v>0</v>
      </c>
      <c r="H641" s="115"/>
      <c r="I641" s="115"/>
      <c r="J641" s="116">
        <v>6211.79449</v>
      </c>
      <c r="K641" s="115"/>
      <c r="L641" s="48" t="s">
        <v>362</v>
      </c>
      <c r="M641" s="112"/>
      <c r="N641" s="113"/>
    </row>
    <row r="642" spans="1:14" ht="48.75" customHeight="1">
      <c r="A642" s="520"/>
      <c r="B642" s="521"/>
      <c r="C642" s="528"/>
      <c r="D642" s="228"/>
      <c r="E642" s="114">
        <f t="shared" si="96"/>
        <v>283.43056</v>
      </c>
      <c r="F642" s="115">
        <v>0</v>
      </c>
      <c r="G642" s="115">
        <f t="shared" si="101"/>
        <v>0</v>
      </c>
      <c r="H642" s="115"/>
      <c r="I642" s="115"/>
      <c r="J642" s="116">
        <v>283.43056</v>
      </c>
      <c r="K642" s="115"/>
      <c r="L642" s="48" t="s">
        <v>372</v>
      </c>
      <c r="M642" s="112"/>
      <c r="N642" s="113"/>
    </row>
    <row r="643" spans="1:14" ht="57" customHeight="1">
      <c r="A643" s="520"/>
      <c r="B643" s="521"/>
      <c r="C643" s="522"/>
      <c r="D643" s="486"/>
      <c r="E643" s="188">
        <f t="shared" si="96"/>
        <v>7827.7703</v>
      </c>
      <c r="F643" s="189">
        <v>0</v>
      </c>
      <c r="G643" s="189">
        <f t="shared" si="101"/>
        <v>1906.52</v>
      </c>
      <c r="H643" s="189"/>
      <c r="I643" s="189">
        <v>1906.52</v>
      </c>
      <c r="J643" s="190">
        <v>5921.2503</v>
      </c>
      <c r="K643" s="189">
        <v>0</v>
      </c>
      <c r="L643" s="378" t="s">
        <v>364</v>
      </c>
      <c r="M643" s="112"/>
      <c r="N643" s="113"/>
    </row>
    <row r="644" spans="1:14" ht="27.75" customHeight="1">
      <c r="A644" s="520"/>
      <c r="B644" s="521"/>
      <c r="C644" s="532"/>
      <c r="D644" s="241">
        <v>2022</v>
      </c>
      <c r="E644" s="533">
        <f>SUM(E645:E656)</f>
        <v>255759.06053000002</v>
      </c>
      <c r="F644" s="172">
        <f>SUM(F645:F656)</f>
        <v>169477.6</v>
      </c>
      <c r="G644" s="172">
        <f>SUM(G645:G656)</f>
        <v>1798.019</v>
      </c>
      <c r="H644" s="172">
        <f>SUM(H645:H656)</f>
        <v>0</v>
      </c>
      <c r="I644" s="172">
        <f>SUM(I645:I656)</f>
        <v>1798.019</v>
      </c>
      <c r="J644" s="173">
        <f>SUM(J645:J656)</f>
        <v>84483.44152999998</v>
      </c>
      <c r="K644" s="172">
        <f>SUM(K645:K656)</f>
        <v>0</v>
      </c>
      <c r="L644" s="232"/>
      <c r="M644" s="112"/>
      <c r="N644" s="113"/>
    </row>
    <row r="645" spans="1:14" ht="48.75" customHeight="1">
      <c r="A645" s="520"/>
      <c r="B645" s="521"/>
      <c r="C645" s="534"/>
      <c r="D645" s="535"/>
      <c r="E645" s="214">
        <f aca="true" t="shared" si="102" ref="E645:E695">F645+G645+J645+K645</f>
        <v>18614.644</v>
      </c>
      <c r="F645" s="176">
        <f>13759.112+409.907</f>
        <v>14169.018999999998</v>
      </c>
      <c r="G645" s="176">
        <f aca="true" t="shared" si="103" ref="G645:G656">H645+I645</f>
        <v>0</v>
      </c>
      <c r="H645" s="176"/>
      <c r="I645" s="176"/>
      <c r="J645" s="177">
        <v>4445.625</v>
      </c>
      <c r="K645" s="176">
        <v>0</v>
      </c>
      <c r="L645" s="327" t="s">
        <v>365</v>
      </c>
      <c r="M645" s="112"/>
      <c r="N645" s="113"/>
    </row>
    <row r="646" spans="1:14" ht="42" customHeight="1">
      <c r="A646" s="520"/>
      <c r="B646" s="521"/>
      <c r="C646" s="534"/>
      <c r="D646" s="535"/>
      <c r="E646" s="214">
        <f t="shared" si="102"/>
        <v>7569.23062</v>
      </c>
      <c r="F646" s="176"/>
      <c r="G646" s="176">
        <f t="shared" si="103"/>
        <v>0</v>
      </c>
      <c r="H646" s="176"/>
      <c r="I646" s="176"/>
      <c r="J646" s="177">
        <v>7569.23062</v>
      </c>
      <c r="K646" s="176"/>
      <c r="L646" s="327" t="s">
        <v>366</v>
      </c>
      <c r="M646" s="112"/>
      <c r="N646" s="113"/>
    </row>
    <row r="647" spans="1:14" ht="48.75" customHeight="1">
      <c r="A647" s="520"/>
      <c r="B647" s="521"/>
      <c r="C647" s="534"/>
      <c r="D647" s="535"/>
      <c r="E647" s="215">
        <f t="shared" si="102"/>
        <v>39422.007</v>
      </c>
      <c r="F647" s="115">
        <f>31019.302+1068.759</f>
        <v>32088.061</v>
      </c>
      <c r="G647" s="115">
        <f t="shared" si="103"/>
        <v>0</v>
      </c>
      <c r="H647" s="115"/>
      <c r="I647" s="115"/>
      <c r="J647" s="116">
        <v>7333.946</v>
      </c>
      <c r="K647" s="115">
        <v>0</v>
      </c>
      <c r="L647" s="327" t="s">
        <v>367</v>
      </c>
      <c r="M647" s="112"/>
      <c r="N647" s="113"/>
    </row>
    <row r="648" spans="1:14" ht="50.25" customHeight="1">
      <c r="A648" s="520"/>
      <c r="B648" s="521"/>
      <c r="C648" s="534"/>
      <c r="D648" s="535"/>
      <c r="E648" s="215">
        <f t="shared" si="102"/>
        <v>15895.27534</v>
      </c>
      <c r="F648" s="115"/>
      <c r="G648" s="115">
        <f t="shared" si="103"/>
        <v>0</v>
      </c>
      <c r="H648" s="115"/>
      <c r="I648" s="115"/>
      <c r="J648" s="116">
        <v>15895.27534</v>
      </c>
      <c r="K648" s="115"/>
      <c r="L648" s="327" t="s">
        <v>368</v>
      </c>
      <c r="M648" s="112"/>
      <c r="N648" s="113"/>
    </row>
    <row r="649" spans="1:14" s="537" customFormat="1" ht="44.25" customHeight="1">
      <c r="A649" s="520"/>
      <c r="B649" s="521"/>
      <c r="C649" s="534"/>
      <c r="D649" s="535"/>
      <c r="E649" s="536">
        <f t="shared" si="102"/>
        <v>24711.368000000002</v>
      </c>
      <c r="F649" s="139">
        <f>16372.08+442.587</f>
        <v>16814.667</v>
      </c>
      <c r="G649" s="139">
        <f t="shared" si="103"/>
        <v>0</v>
      </c>
      <c r="H649" s="139"/>
      <c r="I649" s="139"/>
      <c r="J649" s="116">
        <v>7896.701</v>
      </c>
      <c r="K649" s="139">
        <v>0</v>
      </c>
      <c r="L649" s="327" t="s">
        <v>369</v>
      </c>
      <c r="M649" s="112"/>
      <c r="N649" s="113"/>
    </row>
    <row r="650" spans="1:14" s="537" customFormat="1" ht="44.25" customHeight="1">
      <c r="A650" s="520"/>
      <c r="B650" s="521"/>
      <c r="C650" s="534"/>
      <c r="D650" s="535"/>
      <c r="E650" s="536">
        <f t="shared" si="102"/>
        <v>7592.24247</v>
      </c>
      <c r="F650" s="139"/>
      <c r="G650" s="139">
        <f t="shared" si="103"/>
        <v>0</v>
      </c>
      <c r="H650" s="139"/>
      <c r="I650" s="139"/>
      <c r="J650" s="116">
        <v>7592.24247</v>
      </c>
      <c r="K650" s="139"/>
      <c r="L650" s="327" t="s">
        <v>370</v>
      </c>
      <c r="M650" s="112"/>
      <c r="N650" s="113"/>
    </row>
    <row r="651" spans="1:14" ht="27" customHeight="1">
      <c r="A651" s="520"/>
      <c r="B651" s="521"/>
      <c r="C651" s="534"/>
      <c r="D651" s="535"/>
      <c r="E651" s="215">
        <f t="shared" si="102"/>
        <v>59627.65051</v>
      </c>
      <c r="F651" s="115">
        <f>49604.83+2206.52</f>
        <v>51811.35</v>
      </c>
      <c r="G651" s="115">
        <f t="shared" si="103"/>
        <v>0</v>
      </c>
      <c r="H651" s="115"/>
      <c r="I651" s="115"/>
      <c r="J651" s="116">
        <v>7816.30051</v>
      </c>
      <c r="K651" s="115">
        <v>0</v>
      </c>
      <c r="L651" s="48" t="s">
        <v>26</v>
      </c>
      <c r="M651" s="112"/>
      <c r="N651" s="113"/>
    </row>
    <row r="652" spans="1:14" ht="27" customHeight="1">
      <c r="A652" s="520"/>
      <c r="B652" s="521"/>
      <c r="C652" s="534"/>
      <c r="D652" s="535"/>
      <c r="E652" s="215">
        <f t="shared" si="102"/>
        <v>63308.155</v>
      </c>
      <c r="F652" s="115">
        <v>54594.503</v>
      </c>
      <c r="G652" s="115">
        <f t="shared" si="103"/>
        <v>0</v>
      </c>
      <c r="H652" s="115"/>
      <c r="I652" s="115"/>
      <c r="J652" s="116">
        <v>8713.652</v>
      </c>
      <c r="K652" s="115">
        <v>0</v>
      </c>
      <c r="L652" s="48" t="s">
        <v>27</v>
      </c>
      <c r="M652" s="112"/>
      <c r="N652" s="113"/>
    </row>
    <row r="653" spans="1:14" ht="53.25" customHeight="1">
      <c r="A653" s="520"/>
      <c r="B653" s="521"/>
      <c r="C653" s="534"/>
      <c r="D653" s="535"/>
      <c r="E653" s="215">
        <f t="shared" si="102"/>
        <v>5327.76991</v>
      </c>
      <c r="F653" s="115"/>
      <c r="G653" s="115">
        <f t="shared" si="103"/>
        <v>0</v>
      </c>
      <c r="H653" s="115"/>
      <c r="I653" s="115"/>
      <c r="J653" s="116">
        <v>5327.76991</v>
      </c>
      <c r="K653" s="115">
        <v>0</v>
      </c>
      <c r="L653" s="48" t="s">
        <v>371</v>
      </c>
      <c r="M653" s="112"/>
      <c r="N653" s="113"/>
    </row>
    <row r="654" spans="1:14" ht="36" customHeight="1">
      <c r="A654" s="520"/>
      <c r="B654" s="521"/>
      <c r="C654" s="534"/>
      <c r="D654" s="535"/>
      <c r="E654" s="215">
        <f t="shared" si="102"/>
        <v>5466.73254</v>
      </c>
      <c r="F654" s="115"/>
      <c r="G654" s="115">
        <f t="shared" si="103"/>
        <v>0</v>
      </c>
      <c r="H654" s="115"/>
      <c r="I654" s="115"/>
      <c r="J654" s="116">
        <v>5466.73254</v>
      </c>
      <c r="K654" s="115">
        <v>0</v>
      </c>
      <c r="L654" s="48" t="s">
        <v>362</v>
      </c>
      <c r="M654" s="112"/>
      <c r="N654" s="113"/>
    </row>
    <row r="655" spans="1:14" ht="48" customHeight="1">
      <c r="A655" s="520"/>
      <c r="B655" s="521"/>
      <c r="C655" s="538"/>
      <c r="D655" s="535"/>
      <c r="E655" s="215">
        <f t="shared" si="102"/>
        <v>266.99246</v>
      </c>
      <c r="F655" s="115"/>
      <c r="G655" s="115">
        <f t="shared" si="103"/>
        <v>0</v>
      </c>
      <c r="H655" s="115"/>
      <c r="I655" s="115"/>
      <c r="J655" s="116">
        <v>266.99246</v>
      </c>
      <c r="K655" s="115">
        <v>0</v>
      </c>
      <c r="L655" s="48" t="s">
        <v>372</v>
      </c>
      <c r="M655" s="112"/>
      <c r="N655" s="113"/>
    </row>
    <row r="656" spans="1:14" ht="44.25" customHeight="1">
      <c r="A656" s="520"/>
      <c r="B656" s="521"/>
      <c r="C656" s="539"/>
      <c r="D656" s="540"/>
      <c r="E656" s="216">
        <f t="shared" si="102"/>
        <v>7956.99268</v>
      </c>
      <c r="F656" s="181"/>
      <c r="G656" s="181">
        <f t="shared" si="103"/>
        <v>1798.019</v>
      </c>
      <c r="H656" s="181"/>
      <c r="I656" s="181">
        <v>1798.019</v>
      </c>
      <c r="J656" s="182">
        <v>6158.97368</v>
      </c>
      <c r="K656" s="181">
        <v>0</v>
      </c>
      <c r="L656" s="541" t="s">
        <v>373</v>
      </c>
      <c r="M656" s="112"/>
      <c r="N656" s="113"/>
    </row>
    <row r="657" spans="1:14" ht="38.25" customHeight="1">
      <c r="A657" s="520"/>
      <c r="B657" s="521"/>
      <c r="C657" s="542"/>
      <c r="D657" s="391">
        <v>2023</v>
      </c>
      <c r="E657" s="543">
        <f t="shared" si="102"/>
        <v>270240.81208</v>
      </c>
      <c r="F657" s="158">
        <f>SUM(F658:F669)</f>
        <v>181111.47992</v>
      </c>
      <c r="G657" s="158">
        <f>SUM(G658:G669)</f>
        <v>2021.091</v>
      </c>
      <c r="H657" s="158">
        <f>SUM(H658:H669)</f>
        <v>0</v>
      </c>
      <c r="I657" s="158">
        <f>SUM(I658:I669)</f>
        <v>2021.091</v>
      </c>
      <c r="J657" s="160">
        <f>SUM(J658:J669)</f>
        <v>87108.24116</v>
      </c>
      <c r="K657" s="195">
        <f>SUM(K658:K669)</f>
        <v>0</v>
      </c>
      <c r="L657" s="252"/>
      <c r="M657" s="148"/>
      <c r="N657" s="149"/>
    </row>
    <row r="658" spans="1:14" ht="37.5" customHeight="1">
      <c r="A658" s="520"/>
      <c r="B658" s="521"/>
      <c r="C658" s="528"/>
      <c r="D658" s="531"/>
      <c r="E658" s="175">
        <f t="shared" si="102"/>
        <v>4987.60891</v>
      </c>
      <c r="F658" s="176">
        <v>421.5</v>
      </c>
      <c r="G658" s="176">
        <f aca="true" t="shared" si="104" ref="G658:G669">H658+I658</f>
        <v>0</v>
      </c>
      <c r="H658" s="176"/>
      <c r="I658" s="176"/>
      <c r="J658" s="177">
        <v>4566.10891</v>
      </c>
      <c r="K658" s="176">
        <v>0</v>
      </c>
      <c r="L658" s="327" t="s">
        <v>365</v>
      </c>
      <c r="M658" s="148"/>
      <c r="N658" s="149"/>
    </row>
    <row r="659" spans="1:14" ht="48" customHeight="1">
      <c r="A659" s="520"/>
      <c r="B659" s="521"/>
      <c r="C659" s="528"/>
      <c r="D659" s="531"/>
      <c r="E659" s="175">
        <f t="shared" si="102"/>
        <v>22142.66782</v>
      </c>
      <c r="F659" s="176">
        <f>14096.16+117.18009</f>
        <v>14213.34009</v>
      </c>
      <c r="G659" s="176">
        <f t="shared" si="104"/>
        <v>0</v>
      </c>
      <c r="H659" s="176"/>
      <c r="I659" s="176"/>
      <c r="J659" s="177">
        <v>7929.32773</v>
      </c>
      <c r="K659" s="176"/>
      <c r="L659" s="327" t="s">
        <v>366</v>
      </c>
      <c r="M659" s="148"/>
      <c r="N659" s="149"/>
    </row>
    <row r="660" spans="1:15" ht="45.75" customHeight="1">
      <c r="A660" s="520"/>
      <c r="B660" s="521"/>
      <c r="C660" s="528"/>
      <c r="D660" s="228"/>
      <c r="E660" s="175">
        <f t="shared" si="102"/>
        <v>8758.466330000001</v>
      </c>
      <c r="F660" s="115">
        <v>1004.2</v>
      </c>
      <c r="G660" s="176">
        <f t="shared" si="104"/>
        <v>0</v>
      </c>
      <c r="H660" s="115"/>
      <c r="I660" s="115"/>
      <c r="J660" s="116">
        <v>7754.26633</v>
      </c>
      <c r="K660" s="115">
        <v>0</v>
      </c>
      <c r="L660" s="327" t="s">
        <v>367</v>
      </c>
      <c r="M660" s="148"/>
      <c r="N660" s="149"/>
      <c r="O660" s="321">
        <f>J658+J659+J660+J661+J662+J663+J664+J665+J666+J667+J668+J669</f>
        <v>87108.24116</v>
      </c>
    </row>
    <row r="661" spans="1:14" ht="40.5" customHeight="1">
      <c r="A661" s="520"/>
      <c r="B661" s="521"/>
      <c r="C661" s="528"/>
      <c r="D661" s="228"/>
      <c r="E661" s="175">
        <f t="shared" si="102"/>
        <v>47775.78843</v>
      </c>
      <c r="F661" s="115">
        <f>30563.32501+266.9101</f>
        <v>30830.23511</v>
      </c>
      <c r="G661" s="176">
        <f t="shared" si="104"/>
        <v>0</v>
      </c>
      <c r="H661" s="115"/>
      <c r="I661" s="115"/>
      <c r="J661" s="116">
        <v>16945.55332</v>
      </c>
      <c r="K661" s="115"/>
      <c r="L661" s="327" t="s">
        <v>368</v>
      </c>
      <c r="M661" s="148"/>
      <c r="N661" s="149"/>
    </row>
    <row r="662" spans="1:14" ht="43.5" customHeight="1">
      <c r="A662" s="520"/>
      <c r="B662" s="521"/>
      <c r="C662" s="528"/>
      <c r="D662" s="228"/>
      <c r="E662" s="175">
        <f t="shared" si="102"/>
        <v>8420.148000000001</v>
      </c>
      <c r="F662" s="115">
        <v>468</v>
      </c>
      <c r="G662" s="176">
        <f t="shared" si="104"/>
        <v>0</v>
      </c>
      <c r="H662" s="115"/>
      <c r="I662" s="115"/>
      <c r="J662" s="116">
        <v>7952.148</v>
      </c>
      <c r="K662" s="115">
        <v>0</v>
      </c>
      <c r="L662" s="327" t="s">
        <v>369</v>
      </c>
      <c r="M662" s="148"/>
      <c r="N662" s="149"/>
    </row>
    <row r="663" spans="1:14" ht="46.5" customHeight="1">
      <c r="A663" s="520"/>
      <c r="B663" s="521"/>
      <c r="C663" s="528"/>
      <c r="D663" s="228"/>
      <c r="E663" s="175">
        <f t="shared" si="102"/>
        <v>24097.12605</v>
      </c>
      <c r="F663" s="115">
        <f>15251.5+156.23999</f>
        <v>15407.73999</v>
      </c>
      <c r="G663" s="176">
        <f t="shared" si="104"/>
        <v>0</v>
      </c>
      <c r="H663" s="115"/>
      <c r="I663" s="115"/>
      <c r="J663" s="116">
        <v>8689.38606</v>
      </c>
      <c r="K663" s="115"/>
      <c r="L663" s="327" t="s">
        <v>370</v>
      </c>
      <c r="M663" s="148"/>
      <c r="N663" s="149"/>
    </row>
    <row r="664" spans="1:14" ht="46.5" customHeight="1">
      <c r="A664" s="520"/>
      <c r="B664" s="521"/>
      <c r="C664" s="528"/>
      <c r="D664" s="228"/>
      <c r="E664" s="114">
        <f t="shared" si="102"/>
        <v>63649.346</v>
      </c>
      <c r="F664" s="115">
        <f>48681.02779+6437.63121+364.56</f>
        <v>55483.219</v>
      </c>
      <c r="G664" s="115">
        <f t="shared" si="104"/>
        <v>0</v>
      </c>
      <c r="H664" s="115"/>
      <c r="I664" s="115"/>
      <c r="J664" s="116">
        <v>8166.127</v>
      </c>
      <c r="K664" s="115">
        <v>0</v>
      </c>
      <c r="L664" s="48" t="s">
        <v>26</v>
      </c>
      <c r="M664" s="148"/>
      <c r="N664" s="149"/>
    </row>
    <row r="665" spans="1:14" ht="42" customHeight="1">
      <c r="A665" s="520"/>
      <c r="B665" s="521"/>
      <c r="C665" s="528"/>
      <c r="D665" s="228"/>
      <c r="E665" s="114">
        <f t="shared" si="102"/>
        <v>72025.83573</v>
      </c>
      <c r="F665" s="115">
        <f>56345.631+6556.12499+381.48974</f>
        <v>63283.24573</v>
      </c>
      <c r="G665" s="115">
        <f t="shared" si="104"/>
        <v>0</v>
      </c>
      <c r="H665" s="115"/>
      <c r="I665" s="115"/>
      <c r="J665" s="116">
        <v>8742.59</v>
      </c>
      <c r="K665" s="115">
        <v>0</v>
      </c>
      <c r="L665" s="48" t="s">
        <v>27</v>
      </c>
      <c r="M665" s="148"/>
      <c r="N665" s="149"/>
    </row>
    <row r="666" spans="1:14" ht="50.25" customHeight="1">
      <c r="A666" s="520"/>
      <c r="B666" s="521"/>
      <c r="C666" s="528"/>
      <c r="D666" s="228"/>
      <c r="E666" s="114">
        <f t="shared" si="102"/>
        <v>4417.82397</v>
      </c>
      <c r="F666" s="115">
        <v>0</v>
      </c>
      <c r="G666" s="115">
        <f t="shared" si="104"/>
        <v>0</v>
      </c>
      <c r="H666" s="115"/>
      <c r="I666" s="115"/>
      <c r="J666" s="116">
        <v>4417.82397</v>
      </c>
      <c r="K666" s="115">
        <v>0</v>
      </c>
      <c r="L666" s="48" t="s">
        <v>374</v>
      </c>
      <c r="M666" s="148"/>
      <c r="N666" s="149"/>
    </row>
    <row r="667" spans="1:14" ht="46.5" customHeight="1">
      <c r="A667" s="520"/>
      <c r="B667" s="521"/>
      <c r="C667" s="528"/>
      <c r="D667" s="228"/>
      <c r="E667" s="114">
        <f t="shared" si="102"/>
        <v>6663.02789</v>
      </c>
      <c r="F667" s="115">
        <v>0</v>
      </c>
      <c r="G667" s="115">
        <f t="shared" si="104"/>
        <v>0</v>
      </c>
      <c r="H667" s="115"/>
      <c r="I667" s="115"/>
      <c r="J667" s="116">
        <v>6663.02789</v>
      </c>
      <c r="K667" s="115">
        <v>0</v>
      </c>
      <c r="L667" s="48" t="s">
        <v>362</v>
      </c>
      <c r="M667" s="148"/>
      <c r="N667" s="149"/>
    </row>
    <row r="668" spans="1:14" ht="52.5" customHeight="1">
      <c r="A668" s="520"/>
      <c r="B668" s="521"/>
      <c r="C668" s="522"/>
      <c r="D668" s="486"/>
      <c r="E668" s="188">
        <f t="shared" si="102"/>
        <v>289.93734</v>
      </c>
      <c r="F668" s="189">
        <v>0</v>
      </c>
      <c r="G668" s="189">
        <f t="shared" si="104"/>
        <v>0</v>
      </c>
      <c r="H668" s="189"/>
      <c r="I668" s="189"/>
      <c r="J668" s="544">
        <v>289.93734</v>
      </c>
      <c r="K668" s="189">
        <v>0</v>
      </c>
      <c r="L668" s="48" t="s">
        <v>372</v>
      </c>
      <c r="M668" s="148"/>
      <c r="N668" s="149"/>
    </row>
    <row r="669" spans="1:14" ht="52.5" customHeight="1">
      <c r="A669" s="520"/>
      <c r="B669" s="521"/>
      <c r="C669" s="545"/>
      <c r="D669" s="371"/>
      <c r="E669" s="188">
        <f t="shared" si="102"/>
        <v>7013.035609999999</v>
      </c>
      <c r="F669" s="189">
        <v>0</v>
      </c>
      <c r="G669" s="189">
        <f t="shared" si="104"/>
        <v>2021.091</v>
      </c>
      <c r="H669" s="189"/>
      <c r="I669" s="189">
        <v>2021.091</v>
      </c>
      <c r="J669" s="190">
        <f>4907.31453+84.63008</f>
        <v>4991.94461</v>
      </c>
      <c r="K669" s="189">
        <v>0</v>
      </c>
      <c r="L669" s="541" t="s">
        <v>373</v>
      </c>
      <c r="M669" s="148"/>
      <c r="N669" s="149"/>
    </row>
    <row r="670" spans="1:14" ht="27" customHeight="1">
      <c r="A670" s="546"/>
      <c r="B670" s="547" t="s">
        <v>375</v>
      </c>
      <c r="C670" s="548"/>
      <c r="D670" s="241">
        <v>2024</v>
      </c>
      <c r="E670" s="38">
        <f t="shared" si="102"/>
        <v>262163.498</v>
      </c>
      <c r="F670" s="38">
        <f>SUM(F671:F682)</f>
        <v>160562</v>
      </c>
      <c r="G670" s="38">
        <f>SUM(G671:G682)</f>
        <v>1710.5</v>
      </c>
      <c r="H670" s="38">
        <f>SUM(H671:H682)</f>
        <v>0</v>
      </c>
      <c r="I670" s="38">
        <f>SUM(I671:I682)</f>
        <v>1710.5</v>
      </c>
      <c r="J670" s="39">
        <f>SUM(J671:J682)</f>
        <v>99890.998</v>
      </c>
      <c r="K670" s="549">
        <f>SUM(K671:K682)</f>
        <v>0</v>
      </c>
      <c r="L670" s="263"/>
      <c r="M670" s="148"/>
      <c r="N670" s="149"/>
    </row>
    <row r="671" spans="1:14" ht="44.25" customHeight="1">
      <c r="A671" s="546"/>
      <c r="B671" s="547"/>
      <c r="C671" s="550"/>
      <c r="D671" s="23"/>
      <c r="E671" s="175">
        <f t="shared" si="102"/>
        <v>19200.278</v>
      </c>
      <c r="F671" s="176">
        <f>13598.5+420.5</f>
        <v>14019</v>
      </c>
      <c r="G671" s="176">
        <f aca="true" t="shared" si="105" ref="G671:G682">H671+I671</f>
        <v>0</v>
      </c>
      <c r="H671" s="176"/>
      <c r="I671" s="176"/>
      <c r="J671" s="177">
        <v>5181.278</v>
      </c>
      <c r="K671" s="176">
        <v>0</v>
      </c>
      <c r="L671" s="327" t="s">
        <v>365</v>
      </c>
      <c r="M671" s="148"/>
      <c r="N671" s="149"/>
    </row>
    <row r="672" spans="1:14" ht="46.5" customHeight="1">
      <c r="A672" s="546"/>
      <c r="B672" s="547"/>
      <c r="C672" s="550"/>
      <c r="D672" s="23"/>
      <c r="E672" s="175">
        <f t="shared" si="102"/>
        <v>7888.737</v>
      </c>
      <c r="F672" s="176"/>
      <c r="G672" s="176">
        <f t="shared" si="105"/>
        <v>0</v>
      </c>
      <c r="H672" s="176"/>
      <c r="I672" s="176"/>
      <c r="J672" s="177">
        <v>7888.737</v>
      </c>
      <c r="K672" s="176"/>
      <c r="L672" s="327" t="s">
        <v>366</v>
      </c>
      <c r="M672" s="148"/>
      <c r="N672" s="149"/>
    </row>
    <row r="673" spans="1:14" ht="51" customHeight="1">
      <c r="A673" s="546"/>
      <c r="B673" s="547"/>
      <c r="C673" s="550"/>
      <c r="D673" s="23"/>
      <c r="E673" s="175">
        <f t="shared" si="102"/>
        <v>45377.69</v>
      </c>
      <c r="F673" s="115">
        <f>34321.5+1061.5</f>
        <v>35383</v>
      </c>
      <c r="G673" s="176">
        <f t="shared" si="105"/>
        <v>0</v>
      </c>
      <c r="H673" s="115"/>
      <c r="I673" s="115"/>
      <c r="J673" s="116">
        <v>9994.69</v>
      </c>
      <c r="K673" s="115">
        <v>0</v>
      </c>
      <c r="L673" s="327" t="s">
        <v>367</v>
      </c>
      <c r="M673" s="148"/>
      <c r="N673" s="149"/>
    </row>
    <row r="674" spans="1:14" ht="50.25" customHeight="1">
      <c r="A674" s="546"/>
      <c r="B674" s="547"/>
      <c r="C674" s="550"/>
      <c r="D674" s="23"/>
      <c r="E674" s="175">
        <f t="shared" si="102"/>
        <v>16482.625</v>
      </c>
      <c r="F674" s="115"/>
      <c r="G674" s="176">
        <f t="shared" si="105"/>
        <v>0</v>
      </c>
      <c r="H674" s="115"/>
      <c r="I674" s="115"/>
      <c r="J674" s="116">
        <v>16482.625</v>
      </c>
      <c r="K674" s="115"/>
      <c r="L674" s="327" t="s">
        <v>368</v>
      </c>
      <c r="M674" s="148"/>
      <c r="N674" s="149"/>
    </row>
    <row r="675" spans="1:14" ht="46.5" customHeight="1">
      <c r="A675" s="546"/>
      <c r="B675" s="547"/>
      <c r="C675" s="550"/>
      <c r="D675" s="23"/>
      <c r="E675" s="175">
        <f t="shared" si="102"/>
        <v>23454.215</v>
      </c>
      <c r="F675" s="115">
        <f>14083.1+435.5</f>
        <v>14518.6</v>
      </c>
      <c r="G675" s="176">
        <f t="shared" si="105"/>
        <v>0</v>
      </c>
      <c r="H675" s="115"/>
      <c r="I675" s="115"/>
      <c r="J675" s="116">
        <v>8935.615</v>
      </c>
      <c r="K675" s="115">
        <v>0</v>
      </c>
      <c r="L675" s="327" t="s">
        <v>369</v>
      </c>
      <c r="M675" s="148"/>
      <c r="N675" s="149"/>
    </row>
    <row r="676" spans="1:14" ht="45.75" customHeight="1">
      <c r="A676" s="546"/>
      <c r="B676" s="547"/>
      <c r="C676" s="550"/>
      <c r="D676" s="23"/>
      <c r="E676" s="175">
        <f t="shared" si="102"/>
        <v>8306.496</v>
      </c>
      <c r="F676" s="115"/>
      <c r="G676" s="176">
        <f t="shared" si="105"/>
        <v>0</v>
      </c>
      <c r="H676" s="115"/>
      <c r="I676" s="115"/>
      <c r="J676" s="116">
        <v>8306.496</v>
      </c>
      <c r="K676" s="115"/>
      <c r="L676" s="327" t="s">
        <v>370</v>
      </c>
      <c r="M676" s="148"/>
      <c r="N676" s="149"/>
    </row>
    <row r="677" spans="1:14" ht="27" customHeight="1">
      <c r="A677" s="546"/>
      <c r="B677" s="547"/>
      <c r="C677" s="550"/>
      <c r="D677" s="23"/>
      <c r="E677" s="114">
        <f t="shared" si="102"/>
        <v>59404.471</v>
      </c>
      <c r="F677" s="115">
        <f>47300.9+1903.7</f>
        <v>49204.6</v>
      </c>
      <c r="G677" s="115">
        <f t="shared" si="105"/>
        <v>0</v>
      </c>
      <c r="H677" s="115"/>
      <c r="I677" s="115"/>
      <c r="J677" s="116">
        <v>10199.871</v>
      </c>
      <c r="K677" s="115">
        <v>0</v>
      </c>
      <c r="L677" s="48" t="s">
        <v>26</v>
      </c>
      <c r="M677" s="148"/>
      <c r="N677" s="149"/>
    </row>
    <row r="678" spans="1:14" ht="27" customHeight="1">
      <c r="A678" s="546"/>
      <c r="B678" s="547"/>
      <c r="C678" s="550"/>
      <c r="D678" s="23"/>
      <c r="E678" s="114">
        <f t="shared" si="102"/>
        <v>59479.658</v>
      </c>
      <c r="F678" s="115">
        <f>45703.8+1733</f>
        <v>47436.8</v>
      </c>
      <c r="G678" s="115">
        <f t="shared" si="105"/>
        <v>0</v>
      </c>
      <c r="H678" s="115"/>
      <c r="I678" s="115"/>
      <c r="J678" s="116">
        <v>12042.858</v>
      </c>
      <c r="K678" s="115">
        <v>0</v>
      </c>
      <c r="L678" s="48" t="s">
        <v>27</v>
      </c>
      <c r="M678" s="148"/>
      <c r="N678" s="149"/>
    </row>
    <row r="679" spans="1:14" ht="51" customHeight="1">
      <c r="A679" s="546"/>
      <c r="B679" s="547"/>
      <c r="C679" s="550"/>
      <c r="D679" s="23"/>
      <c r="E679" s="114">
        <f t="shared" si="102"/>
        <v>5826.854</v>
      </c>
      <c r="F679" s="115">
        <v>0</v>
      </c>
      <c r="G679" s="115">
        <f t="shared" si="105"/>
        <v>0</v>
      </c>
      <c r="H679" s="115"/>
      <c r="I679" s="115"/>
      <c r="J679" s="116">
        <v>5826.854</v>
      </c>
      <c r="K679" s="115">
        <v>0</v>
      </c>
      <c r="L679" s="48" t="s">
        <v>374</v>
      </c>
      <c r="M679" s="148"/>
      <c r="N679" s="149"/>
    </row>
    <row r="680" spans="1:14" ht="53.25" customHeight="1">
      <c r="A680" s="546"/>
      <c r="B680" s="547"/>
      <c r="C680" s="550"/>
      <c r="D680" s="23"/>
      <c r="E680" s="114">
        <f t="shared" si="102"/>
        <v>7586.841</v>
      </c>
      <c r="F680" s="115">
        <v>0</v>
      </c>
      <c r="G680" s="115">
        <f t="shared" si="105"/>
        <v>0</v>
      </c>
      <c r="H680" s="115"/>
      <c r="I680" s="115"/>
      <c r="J680" s="116">
        <v>7586.841</v>
      </c>
      <c r="K680" s="115">
        <v>0</v>
      </c>
      <c r="L680" s="48" t="s">
        <v>362</v>
      </c>
      <c r="M680" s="148"/>
      <c r="N680" s="149"/>
    </row>
    <row r="681" spans="1:14" ht="45.75" customHeight="1">
      <c r="A681" s="546"/>
      <c r="B681" s="547"/>
      <c r="C681" s="551"/>
      <c r="D681" s="552"/>
      <c r="E681" s="180">
        <f t="shared" si="102"/>
        <v>242.8</v>
      </c>
      <c r="F681" s="181">
        <v>0</v>
      </c>
      <c r="G681" s="181">
        <f t="shared" si="105"/>
        <v>0</v>
      </c>
      <c r="H681" s="181"/>
      <c r="I681" s="181"/>
      <c r="J681" s="182">
        <v>242.8</v>
      </c>
      <c r="K681" s="181">
        <v>0</v>
      </c>
      <c r="L681" s="48" t="s">
        <v>372</v>
      </c>
      <c r="M681" s="148"/>
      <c r="N681" s="149"/>
    </row>
    <row r="682" spans="1:14" ht="45.75" customHeight="1">
      <c r="A682" s="553"/>
      <c r="B682" s="551"/>
      <c r="C682" s="554"/>
      <c r="D682" s="555"/>
      <c r="E682" s="207">
        <f t="shared" si="102"/>
        <v>8912.832999999999</v>
      </c>
      <c r="F682" s="556">
        <v>0</v>
      </c>
      <c r="G682" s="556">
        <f t="shared" si="105"/>
        <v>1710.5</v>
      </c>
      <c r="H682" s="556"/>
      <c r="I682" s="556">
        <v>1710.5</v>
      </c>
      <c r="J682" s="557">
        <v>7202.333</v>
      </c>
      <c r="K682" s="556">
        <v>0</v>
      </c>
      <c r="L682" s="541" t="s">
        <v>373</v>
      </c>
      <c r="M682" s="148"/>
      <c r="N682" s="149"/>
    </row>
    <row r="683" spans="1:14" ht="45.75" customHeight="1">
      <c r="A683" s="553"/>
      <c r="B683" s="558"/>
      <c r="C683" s="554"/>
      <c r="D683" s="241">
        <v>2025</v>
      </c>
      <c r="E683" s="38">
        <f t="shared" si="102"/>
        <v>263270.752</v>
      </c>
      <c r="F683" s="38">
        <f>SUM(F684:F695)</f>
        <v>160562</v>
      </c>
      <c r="G683" s="38">
        <f>SUM(G684:G695)</f>
        <v>1710.5</v>
      </c>
      <c r="H683" s="38">
        <f>SUM(H684:H695)</f>
        <v>0</v>
      </c>
      <c r="I683" s="38">
        <f>SUM(I684:I695)</f>
        <v>1710.5</v>
      </c>
      <c r="J683" s="39">
        <f>SUM(J684:J695)</f>
        <v>100998.25200000001</v>
      </c>
      <c r="K683" s="549">
        <f>SUM(K684:K695)</f>
        <v>0</v>
      </c>
      <c r="L683" s="263"/>
      <c r="M683" s="148"/>
      <c r="N683" s="149"/>
    </row>
    <row r="684" spans="1:14" ht="45.75" customHeight="1">
      <c r="A684" s="553"/>
      <c r="B684" s="558"/>
      <c r="C684" s="554"/>
      <c r="D684" s="23"/>
      <c r="E684" s="175">
        <f t="shared" si="102"/>
        <v>19045.674</v>
      </c>
      <c r="F684" s="176">
        <f>13598.5+420.5</f>
        <v>14019</v>
      </c>
      <c r="G684" s="176">
        <f aca="true" t="shared" si="106" ref="G684:G695">H684+I684</f>
        <v>0</v>
      </c>
      <c r="H684" s="176"/>
      <c r="I684" s="176"/>
      <c r="J684" s="177">
        <v>5026.674</v>
      </c>
      <c r="K684" s="176">
        <v>0</v>
      </c>
      <c r="L684" s="327" t="s">
        <v>365</v>
      </c>
      <c r="M684" s="148"/>
      <c r="N684" s="149"/>
    </row>
    <row r="685" spans="1:14" ht="45.75" customHeight="1">
      <c r="A685" s="553"/>
      <c r="B685" s="558"/>
      <c r="C685" s="554"/>
      <c r="D685" s="23"/>
      <c r="E685" s="175">
        <f t="shared" si="102"/>
        <v>7888.737</v>
      </c>
      <c r="F685" s="176"/>
      <c r="G685" s="176">
        <f t="shared" si="106"/>
        <v>0</v>
      </c>
      <c r="H685" s="176"/>
      <c r="I685" s="176"/>
      <c r="J685" s="177">
        <v>7888.737</v>
      </c>
      <c r="K685" s="176"/>
      <c r="L685" s="327" t="s">
        <v>366</v>
      </c>
      <c r="M685" s="148"/>
      <c r="N685" s="149"/>
    </row>
    <row r="686" spans="1:14" ht="45.75" customHeight="1">
      <c r="A686" s="553"/>
      <c r="B686" s="558"/>
      <c r="C686" s="554"/>
      <c r="D686" s="23"/>
      <c r="E686" s="175">
        <f t="shared" si="102"/>
        <v>46309.64</v>
      </c>
      <c r="F686" s="115">
        <f>34321.5+1061.5</f>
        <v>35383</v>
      </c>
      <c r="G686" s="176">
        <f t="shared" si="106"/>
        <v>0</v>
      </c>
      <c r="H686" s="115"/>
      <c r="I686" s="115"/>
      <c r="J686" s="116">
        <v>10926.64</v>
      </c>
      <c r="K686" s="115">
        <v>0</v>
      </c>
      <c r="L686" s="327" t="s">
        <v>367</v>
      </c>
      <c r="M686" s="148"/>
      <c r="N686" s="149"/>
    </row>
    <row r="687" spans="1:14" ht="45.75" customHeight="1">
      <c r="A687" s="553"/>
      <c r="B687" s="558"/>
      <c r="C687" s="554"/>
      <c r="D687" s="23"/>
      <c r="E687" s="175">
        <f t="shared" si="102"/>
        <v>16482.625</v>
      </c>
      <c r="F687" s="115"/>
      <c r="G687" s="176">
        <f t="shared" si="106"/>
        <v>0</v>
      </c>
      <c r="H687" s="115"/>
      <c r="I687" s="115"/>
      <c r="J687" s="116">
        <v>16482.625</v>
      </c>
      <c r="K687" s="115"/>
      <c r="L687" s="327" t="s">
        <v>368</v>
      </c>
      <c r="M687" s="148"/>
      <c r="N687" s="149"/>
    </row>
    <row r="688" spans="1:14" ht="45.75" customHeight="1">
      <c r="A688" s="553"/>
      <c r="B688" s="558"/>
      <c r="C688" s="554"/>
      <c r="D688" s="23"/>
      <c r="E688" s="175">
        <f t="shared" si="102"/>
        <v>23547.201</v>
      </c>
      <c r="F688" s="115">
        <f>14083.1+435.5</f>
        <v>14518.6</v>
      </c>
      <c r="G688" s="176">
        <f t="shared" si="106"/>
        <v>0</v>
      </c>
      <c r="H688" s="115"/>
      <c r="I688" s="115"/>
      <c r="J688" s="116">
        <v>9028.601</v>
      </c>
      <c r="K688" s="115">
        <v>0</v>
      </c>
      <c r="L688" s="327" t="s">
        <v>369</v>
      </c>
      <c r="M688" s="148"/>
      <c r="N688" s="149"/>
    </row>
    <row r="689" spans="1:14" ht="45.75" customHeight="1">
      <c r="A689" s="553"/>
      <c r="B689" s="558"/>
      <c r="C689" s="554"/>
      <c r="D689" s="23"/>
      <c r="E689" s="175">
        <f t="shared" si="102"/>
        <v>8306.496</v>
      </c>
      <c r="F689" s="115"/>
      <c r="G689" s="176">
        <f t="shared" si="106"/>
        <v>0</v>
      </c>
      <c r="H689" s="115"/>
      <c r="I689" s="115"/>
      <c r="J689" s="116">
        <v>8306.496</v>
      </c>
      <c r="K689" s="115"/>
      <c r="L689" s="327" t="s">
        <v>370</v>
      </c>
      <c r="M689" s="148"/>
      <c r="N689" s="149"/>
    </row>
    <row r="690" spans="1:14" ht="45.75" customHeight="1">
      <c r="A690" s="553"/>
      <c r="B690" s="558"/>
      <c r="C690" s="554"/>
      <c r="D690" s="23"/>
      <c r="E690" s="114">
        <f t="shared" si="102"/>
        <v>59523.229</v>
      </c>
      <c r="F690" s="115">
        <f>47300.9+1903.7</f>
        <v>49204.6</v>
      </c>
      <c r="G690" s="115">
        <f t="shared" si="106"/>
        <v>0</v>
      </c>
      <c r="H690" s="115"/>
      <c r="I690" s="115"/>
      <c r="J690" s="116">
        <v>10318.629</v>
      </c>
      <c r="K690" s="115">
        <v>0</v>
      </c>
      <c r="L690" s="48" t="s">
        <v>26</v>
      </c>
      <c r="M690" s="148"/>
      <c r="N690" s="149"/>
    </row>
    <row r="691" spans="1:14" ht="45.75" customHeight="1">
      <c r="A691" s="553"/>
      <c r="B691" s="558"/>
      <c r="C691" s="554"/>
      <c r="D691" s="23"/>
      <c r="E691" s="114">
        <f t="shared" si="102"/>
        <v>59613.849</v>
      </c>
      <c r="F691" s="115">
        <f>45703.8+1733</f>
        <v>47436.8</v>
      </c>
      <c r="G691" s="115">
        <f t="shared" si="106"/>
        <v>0</v>
      </c>
      <c r="H691" s="115"/>
      <c r="I691" s="115"/>
      <c r="J691" s="116">
        <v>12177.049</v>
      </c>
      <c r="K691" s="115">
        <v>0</v>
      </c>
      <c r="L691" s="48" t="s">
        <v>27</v>
      </c>
      <c r="M691" s="148"/>
      <c r="N691" s="149"/>
    </row>
    <row r="692" spans="1:14" ht="45.75" customHeight="1">
      <c r="A692" s="553"/>
      <c r="B692" s="558"/>
      <c r="C692" s="554"/>
      <c r="D692" s="23"/>
      <c r="E692" s="114">
        <f t="shared" si="102"/>
        <v>5810.827</v>
      </c>
      <c r="F692" s="115">
        <v>0</v>
      </c>
      <c r="G692" s="115">
        <f t="shared" si="106"/>
        <v>0</v>
      </c>
      <c r="H692" s="115"/>
      <c r="I692" s="115"/>
      <c r="J692" s="116">
        <v>5810.827</v>
      </c>
      <c r="K692" s="115">
        <v>0</v>
      </c>
      <c r="L692" s="48" t="s">
        <v>374</v>
      </c>
      <c r="M692" s="148"/>
      <c r="N692" s="149"/>
    </row>
    <row r="693" spans="1:14" ht="45.75" customHeight="1">
      <c r="A693" s="553"/>
      <c r="B693" s="558"/>
      <c r="C693" s="554"/>
      <c r="D693" s="23"/>
      <c r="E693" s="114">
        <f t="shared" si="102"/>
        <v>7586.841</v>
      </c>
      <c r="F693" s="115">
        <v>0</v>
      </c>
      <c r="G693" s="115">
        <f t="shared" si="106"/>
        <v>0</v>
      </c>
      <c r="H693" s="115"/>
      <c r="I693" s="115"/>
      <c r="J693" s="116">
        <v>7586.841</v>
      </c>
      <c r="K693" s="115">
        <v>0</v>
      </c>
      <c r="L693" s="48" t="s">
        <v>362</v>
      </c>
      <c r="M693" s="148"/>
      <c r="N693" s="149"/>
    </row>
    <row r="694" spans="1:14" ht="45.75" customHeight="1">
      <c r="A694" s="553"/>
      <c r="B694" s="558"/>
      <c r="C694" s="554"/>
      <c r="D694" s="371"/>
      <c r="E694" s="188">
        <f t="shared" si="102"/>
        <v>242.8</v>
      </c>
      <c r="F694" s="189">
        <v>0</v>
      </c>
      <c r="G694" s="189">
        <f t="shared" si="106"/>
        <v>0</v>
      </c>
      <c r="H694" s="189"/>
      <c r="I694" s="189"/>
      <c r="J694" s="190">
        <v>242.8</v>
      </c>
      <c r="K694" s="189">
        <v>0</v>
      </c>
      <c r="L694" s="378" t="s">
        <v>372</v>
      </c>
      <c r="M694" s="152"/>
      <c r="N694" s="559"/>
    </row>
    <row r="695" spans="1:14" s="513" customFormat="1" ht="45.75" customHeight="1">
      <c r="A695" s="553"/>
      <c r="B695" s="550"/>
      <c r="C695" s="554"/>
      <c r="D695" s="23"/>
      <c r="E695" s="114">
        <f t="shared" si="102"/>
        <v>8912.832999999999</v>
      </c>
      <c r="F695" s="115">
        <v>0</v>
      </c>
      <c r="G695" s="115">
        <f t="shared" si="106"/>
        <v>1710.5</v>
      </c>
      <c r="H695" s="115"/>
      <c r="I695" s="115">
        <v>1710.5</v>
      </c>
      <c r="J695" s="116">
        <v>7202.333</v>
      </c>
      <c r="K695" s="115">
        <v>0</v>
      </c>
      <c r="L695" s="49" t="s">
        <v>373</v>
      </c>
      <c r="M695" s="148"/>
      <c r="N695" s="148"/>
    </row>
    <row r="696" spans="1:14" ht="20.25" customHeight="1">
      <c r="A696" s="560"/>
      <c r="B696" s="550"/>
      <c r="C696" s="550"/>
      <c r="D696" s="23"/>
      <c r="E696" s="114"/>
      <c r="F696" s="115"/>
      <c r="G696" s="115"/>
      <c r="H696" s="115"/>
      <c r="I696" s="115"/>
      <c r="J696" s="116"/>
      <c r="K696" s="115"/>
      <c r="L696" s="49"/>
      <c r="M696" s="148"/>
      <c r="N696" s="561"/>
    </row>
    <row r="697" spans="1:14" s="245" customFormat="1" ht="27" customHeight="1">
      <c r="A697" s="562" t="s">
        <v>376</v>
      </c>
      <c r="B697" s="563" t="s">
        <v>377</v>
      </c>
      <c r="C697" s="563"/>
      <c r="D697" s="23">
        <v>2020</v>
      </c>
      <c r="E697" s="114">
        <f>E698+E699</f>
        <v>1979.1</v>
      </c>
      <c r="F697" s="114">
        <f>F698+F699</f>
        <v>0</v>
      </c>
      <c r="G697" s="114">
        <f>G698+G699</f>
        <v>1979.1</v>
      </c>
      <c r="H697" s="114">
        <f>H698+H699</f>
        <v>1979.1</v>
      </c>
      <c r="I697" s="114">
        <f>I698+I699</f>
        <v>0</v>
      </c>
      <c r="J697" s="116">
        <f>J698+J699</f>
        <v>0</v>
      </c>
      <c r="K697" s="114">
        <f>K698+K699</f>
        <v>0</v>
      </c>
      <c r="L697" s="101"/>
      <c r="M697" s="106"/>
      <c r="N697" s="107"/>
    </row>
    <row r="698" spans="1:14" ht="39.75" customHeight="1">
      <c r="A698" s="562"/>
      <c r="B698" s="563"/>
      <c r="C698" s="563"/>
      <c r="D698" s="49" t="s">
        <v>26</v>
      </c>
      <c r="E698" s="115">
        <f aca="true" t="shared" si="107" ref="E698:E717">F698+G698+J698</f>
        <v>925.294</v>
      </c>
      <c r="F698" s="115">
        <v>0</v>
      </c>
      <c r="G698" s="115">
        <f aca="true" t="shared" si="108" ref="G698:G717">H698+I698</f>
        <v>925.294</v>
      </c>
      <c r="H698" s="115">
        <f>925.3-0.006</f>
        <v>925.294</v>
      </c>
      <c r="I698" s="115">
        <v>0</v>
      </c>
      <c r="J698" s="116">
        <v>0</v>
      </c>
      <c r="K698" s="115">
        <v>0</v>
      </c>
      <c r="L698" s="49" t="s">
        <v>26</v>
      </c>
      <c r="M698" s="106"/>
      <c r="N698" s="107"/>
    </row>
    <row r="699" spans="1:14" ht="50.25" customHeight="1">
      <c r="A699" s="562"/>
      <c r="B699" s="563"/>
      <c r="C699" s="563"/>
      <c r="D699" s="78" t="s">
        <v>27</v>
      </c>
      <c r="E699" s="115">
        <f t="shared" si="107"/>
        <v>1053.806</v>
      </c>
      <c r="F699" s="115">
        <v>0</v>
      </c>
      <c r="G699" s="115">
        <f t="shared" si="108"/>
        <v>1053.806</v>
      </c>
      <c r="H699" s="115">
        <f>1053.8+0.006</f>
        <v>1053.806</v>
      </c>
      <c r="I699" s="115">
        <v>0</v>
      </c>
      <c r="J699" s="116">
        <v>0</v>
      </c>
      <c r="K699" s="115">
        <v>0</v>
      </c>
      <c r="L699" s="49" t="s">
        <v>27</v>
      </c>
      <c r="M699" s="106"/>
      <c r="N699" s="107"/>
    </row>
    <row r="700" spans="1:14" ht="27" customHeight="1">
      <c r="A700" s="562"/>
      <c r="B700" s="563"/>
      <c r="C700" s="563"/>
      <c r="D700" s="23">
        <v>2021</v>
      </c>
      <c r="E700" s="114">
        <f t="shared" si="107"/>
        <v>5937</v>
      </c>
      <c r="F700" s="114">
        <f>F701+F702</f>
        <v>0</v>
      </c>
      <c r="G700" s="114">
        <f t="shared" si="108"/>
        <v>5937</v>
      </c>
      <c r="H700" s="114">
        <f>H701+H702</f>
        <v>5937</v>
      </c>
      <c r="I700" s="114">
        <f>I701+I702</f>
        <v>0</v>
      </c>
      <c r="J700" s="116">
        <f>J701+J702</f>
        <v>0</v>
      </c>
      <c r="K700" s="114">
        <f>K701+K702</f>
        <v>0</v>
      </c>
      <c r="L700" s="101"/>
      <c r="M700" s="106"/>
      <c r="N700" s="107"/>
    </row>
    <row r="701" spans="1:14" ht="46.5" customHeight="1">
      <c r="A701" s="562"/>
      <c r="B701" s="563"/>
      <c r="C701" s="563"/>
      <c r="D701" s="49" t="s">
        <v>26</v>
      </c>
      <c r="E701" s="115">
        <f t="shared" si="107"/>
        <v>2775.74</v>
      </c>
      <c r="F701" s="115"/>
      <c r="G701" s="115">
        <f t="shared" si="108"/>
        <v>2775.74</v>
      </c>
      <c r="H701" s="115">
        <v>2775.74</v>
      </c>
      <c r="I701" s="115"/>
      <c r="J701" s="116"/>
      <c r="K701" s="115"/>
      <c r="L701" s="49" t="s">
        <v>26</v>
      </c>
      <c r="M701" s="106"/>
      <c r="N701" s="107"/>
    </row>
    <row r="702" spans="1:14" ht="44.25" customHeight="1">
      <c r="A702" s="562"/>
      <c r="B702" s="563"/>
      <c r="C702" s="563"/>
      <c r="D702" s="78" t="s">
        <v>27</v>
      </c>
      <c r="E702" s="115">
        <f t="shared" si="107"/>
        <v>3161.26</v>
      </c>
      <c r="F702" s="115"/>
      <c r="G702" s="115">
        <f t="shared" si="108"/>
        <v>3161.26</v>
      </c>
      <c r="H702" s="115">
        <v>3161.26</v>
      </c>
      <c r="I702" s="115"/>
      <c r="J702" s="116"/>
      <c r="K702" s="115"/>
      <c r="L702" s="49" t="s">
        <v>27</v>
      </c>
      <c r="M702" s="106"/>
      <c r="N702" s="107"/>
    </row>
    <row r="703" spans="1:14" ht="27" customHeight="1">
      <c r="A703" s="562"/>
      <c r="B703" s="563"/>
      <c r="C703" s="563"/>
      <c r="D703" s="23">
        <v>2022</v>
      </c>
      <c r="E703" s="114">
        <f t="shared" si="107"/>
        <v>5627.799999999999</v>
      </c>
      <c r="F703" s="114">
        <f>F704+F705</f>
        <v>0</v>
      </c>
      <c r="G703" s="114">
        <f t="shared" si="108"/>
        <v>5627.799999999999</v>
      </c>
      <c r="H703" s="114">
        <f>H704+H705</f>
        <v>5627.799999999999</v>
      </c>
      <c r="I703" s="114">
        <f>I704+I705</f>
        <v>0</v>
      </c>
      <c r="J703" s="116">
        <f>J704+J705</f>
        <v>0</v>
      </c>
      <c r="K703" s="114">
        <f>K704+K705</f>
        <v>0</v>
      </c>
      <c r="L703" s="101"/>
      <c r="M703" s="106"/>
      <c r="N703" s="107"/>
    </row>
    <row r="704" spans="1:14" ht="45" customHeight="1">
      <c r="A704" s="562"/>
      <c r="B704" s="563"/>
      <c r="C704" s="563"/>
      <c r="D704" s="49" t="s">
        <v>26</v>
      </c>
      <c r="E704" s="115">
        <f t="shared" si="107"/>
        <v>2775.85</v>
      </c>
      <c r="F704" s="115"/>
      <c r="G704" s="115">
        <f t="shared" si="108"/>
        <v>2775.85</v>
      </c>
      <c r="H704" s="115">
        <v>2775.85</v>
      </c>
      <c r="I704" s="115"/>
      <c r="J704" s="116"/>
      <c r="K704" s="115"/>
      <c r="L704" s="49" t="s">
        <v>26</v>
      </c>
      <c r="M704" s="106"/>
      <c r="N704" s="107"/>
    </row>
    <row r="705" spans="1:14" ht="40.5" customHeight="1">
      <c r="A705" s="562"/>
      <c r="B705" s="563"/>
      <c r="C705" s="563"/>
      <c r="D705" s="49" t="s">
        <v>27</v>
      </c>
      <c r="E705" s="115">
        <f t="shared" si="107"/>
        <v>2851.95</v>
      </c>
      <c r="F705" s="115"/>
      <c r="G705" s="115">
        <f t="shared" si="108"/>
        <v>2851.95</v>
      </c>
      <c r="H705" s="115">
        <v>2851.95</v>
      </c>
      <c r="I705" s="115"/>
      <c r="J705" s="116"/>
      <c r="K705" s="115"/>
      <c r="L705" s="49" t="s">
        <v>27</v>
      </c>
      <c r="M705" s="106"/>
      <c r="N705" s="107"/>
    </row>
    <row r="706" spans="1:14" ht="27.75" customHeight="1">
      <c r="A706" s="562"/>
      <c r="B706" s="563"/>
      <c r="C706" s="563"/>
      <c r="D706" s="23">
        <v>2023</v>
      </c>
      <c r="E706" s="114">
        <f t="shared" si="107"/>
        <v>6093.4</v>
      </c>
      <c r="F706" s="114"/>
      <c r="G706" s="114">
        <f t="shared" si="108"/>
        <v>6093.4</v>
      </c>
      <c r="H706" s="114">
        <f>H707+H708</f>
        <v>6093.4</v>
      </c>
      <c r="I706" s="114">
        <f>I707+I708</f>
        <v>0</v>
      </c>
      <c r="J706" s="116">
        <f>J707+J708</f>
        <v>0</v>
      </c>
      <c r="K706" s="114">
        <f>K707+K708</f>
        <v>0</v>
      </c>
      <c r="L706" s="23"/>
      <c r="M706" s="106"/>
      <c r="N706" s="107"/>
    </row>
    <row r="707" spans="1:14" ht="42" customHeight="1">
      <c r="A707" s="562"/>
      <c r="B707" s="563"/>
      <c r="C707" s="563"/>
      <c r="D707" s="49" t="s">
        <v>26</v>
      </c>
      <c r="E707" s="115">
        <f t="shared" si="107"/>
        <v>2863.9</v>
      </c>
      <c r="F707" s="115"/>
      <c r="G707" s="115">
        <f t="shared" si="108"/>
        <v>2863.9</v>
      </c>
      <c r="H707" s="114">
        <v>2863.9</v>
      </c>
      <c r="I707" s="115"/>
      <c r="J707" s="116"/>
      <c r="K707" s="115"/>
      <c r="L707" s="49" t="s">
        <v>26</v>
      </c>
      <c r="M707" s="106"/>
      <c r="N707" s="107"/>
    </row>
    <row r="708" spans="1:14" ht="46.5" customHeight="1">
      <c r="A708" s="562"/>
      <c r="B708" s="563"/>
      <c r="C708" s="563"/>
      <c r="D708" s="78" t="s">
        <v>27</v>
      </c>
      <c r="E708" s="115">
        <f t="shared" si="107"/>
        <v>3229.5</v>
      </c>
      <c r="F708" s="115"/>
      <c r="G708" s="115">
        <f t="shared" si="108"/>
        <v>3229.5</v>
      </c>
      <c r="H708" s="114">
        <v>3229.5</v>
      </c>
      <c r="I708" s="115"/>
      <c r="J708" s="116"/>
      <c r="K708" s="115"/>
      <c r="L708" s="49" t="s">
        <v>27</v>
      </c>
      <c r="M708" s="106"/>
      <c r="N708" s="107"/>
    </row>
    <row r="709" spans="1:14" ht="27" customHeight="1">
      <c r="A709" s="562"/>
      <c r="B709" s="563"/>
      <c r="C709" s="563"/>
      <c r="D709" s="23">
        <v>2024</v>
      </c>
      <c r="E709" s="114">
        <f t="shared" si="107"/>
        <v>6015.2</v>
      </c>
      <c r="F709" s="114"/>
      <c r="G709" s="114">
        <f t="shared" si="108"/>
        <v>6015.2</v>
      </c>
      <c r="H709" s="114">
        <f>H710+H711</f>
        <v>6015.2</v>
      </c>
      <c r="I709" s="114">
        <f>I710+I711</f>
        <v>0</v>
      </c>
      <c r="J709" s="116">
        <f>J710+J711</f>
        <v>0</v>
      </c>
      <c r="K709" s="114">
        <f>K710+K711</f>
        <v>0</v>
      </c>
      <c r="L709" s="23"/>
      <c r="M709" s="106"/>
      <c r="N709" s="107"/>
    </row>
    <row r="710" spans="1:14" ht="54.75" customHeight="1">
      <c r="A710" s="562"/>
      <c r="B710" s="563"/>
      <c r="C710" s="563"/>
      <c r="D710" s="49" t="s">
        <v>26</v>
      </c>
      <c r="E710" s="115">
        <f t="shared" si="107"/>
        <v>2827.145</v>
      </c>
      <c r="F710" s="115"/>
      <c r="G710" s="115">
        <f t="shared" si="108"/>
        <v>2827.145</v>
      </c>
      <c r="H710" s="115">
        <v>2827.145</v>
      </c>
      <c r="I710" s="115"/>
      <c r="J710" s="116"/>
      <c r="K710" s="115"/>
      <c r="L710" s="49" t="s">
        <v>26</v>
      </c>
      <c r="M710" s="106"/>
      <c r="N710" s="107"/>
    </row>
    <row r="711" spans="1:14" ht="49.5" customHeight="1">
      <c r="A711" s="562"/>
      <c r="B711" s="563"/>
      <c r="C711" s="563"/>
      <c r="D711" s="78" t="s">
        <v>27</v>
      </c>
      <c r="E711" s="115">
        <f t="shared" si="107"/>
        <v>3188.055</v>
      </c>
      <c r="F711" s="115"/>
      <c r="G711" s="115">
        <f t="shared" si="108"/>
        <v>3188.055</v>
      </c>
      <c r="H711" s="115">
        <v>3188.055</v>
      </c>
      <c r="I711" s="115"/>
      <c r="J711" s="116"/>
      <c r="K711" s="115"/>
      <c r="L711" s="49" t="s">
        <v>27</v>
      </c>
      <c r="M711" s="106"/>
      <c r="N711" s="107"/>
    </row>
    <row r="712" spans="1:14" ht="49.5" customHeight="1">
      <c r="A712" s="562"/>
      <c r="B712" s="563"/>
      <c r="C712" s="563"/>
      <c r="D712" s="23">
        <v>2025</v>
      </c>
      <c r="E712" s="114">
        <f t="shared" si="107"/>
        <v>6015.2</v>
      </c>
      <c r="F712" s="114"/>
      <c r="G712" s="114">
        <f t="shared" si="108"/>
        <v>6015.2</v>
      </c>
      <c r="H712" s="114">
        <f>H713+H714</f>
        <v>6015.2</v>
      </c>
      <c r="I712" s="114">
        <f>I713+I714</f>
        <v>0</v>
      </c>
      <c r="J712" s="116">
        <f>J713+J714</f>
        <v>0</v>
      </c>
      <c r="K712" s="114">
        <f>K713+K714</f>
        <v>0</v>
      </c>
      <c r="L712" s="23"/>
      <c r="M712" s="106"/>
      <c r="N712" s="107"/>
    </row>
    <row r="713" spans="1:14" ht="49.5" customHeight="1">
      <c r="A713" s="562"/>
      <c r="B713" s="563"/>
      <c r="C713" s="563"/>
      <c r="D713" s="49" t="s">
        <v>26</v>
      </c>
      <c r="E713" s="115">
        <f t="shared" si="107"/>
        <v>2827.145</v>
      </c>
      <c r="F713" s="115"/>
      <c r="G713" s="115">
        <f t="shared" si="108"/>
        <v>2827.145</v>
      </c>
      <c r="H713" s="115">
        <v>2827.145</v>
      </c>
      <c r="I713" s="115"/>
      <c r="J713" s="116"/>
      <c r="K713" s="115"/>
      <c r="L713" s="49" t="s">
        <v>26</v>
      </c>
      <c r="M713" s="106"/>
      <c r="N713" s="107"/>
    </row>
    <row r="714" spans="1:14" ht="49.5" customHeight="1">
      <c r="A714" s="562"/>
      <c r="B714" s="563"/>
      <c r="C714" s="563"/>
      <c r="D714" s="78" t="s">
        <v>27</v>
      </c>
      <c r="E714" s="115">
        <f t="shared" si="107"/>
        <v>3188.055</v>
      </c>
      <c r="F714" s="115"/>
      <c r="G714" s="115">
        <f t="shared" si="108"/>
        <v>3188.055</v>
      </c>
      <c r="H714" s="115">
        <v>3188.055</v>
      </c>
      <c r="I714" s="115"/>
      <c r="J714" s="116"/>
      <c r="K714" s="115"/>
      <c r="L714" s="49" t="s">
        <v>27</v>
      </c>
      <c r="M714" s="106"/>
      <c r="N714" s="107"/>
    </row>
    <row r="715" spans="1:14" ht="49.5" customHeight="1">
      <c r="A715" s="562"/>
      <c r="B715" s="564" t="s">
        <v>378</v>
      </c>
      <c r="C715" s="563"/>
      <c r="D715" s="23">
        <v>2023</v>
      </c>
      <c r="E715" s="114">
        <f t="shared" si="107"/>
        <v>194</v>
      </c>
      <c r="F715" s="114"/>
      <c r="G715" s="114">
        <f t="shared" si="108"/>
        <v>194</v>
      </c>
      <c r="H715" s="114">
        <f>H716+H717</f>
        <v>0</v>
      </c>
      <c r="I715" s="114">
        <f>I716+I717</f>
        <v>194</v>
      </c>
      <c r="J715" s="116">
        <f>J716+J717</f>
        <v>0</v>
      </c>
      <c r="K715" s="114">
        <f>K716+K717</f>
        <v>0</v>
      </c>
      <c r="L715" s="23"/>
      <c r="M715" s="106"/>
      <c r="N715" s="107"/>
    </row>
    <row r="716" spans="1:14" ht="49.5" customHeight="1">
      <c r="A716" s="562"/>
      <c r="B716" s="564"/>
      <c r="C716" s="563"/>
      <c r="D716" s="49" t="s">
        <v>26</v>
      </c>
      <c r="E716" s="115">
        <f t="shared" si="107"/>
        <v>97</v>
      </c>
      <c r="F716" s="115"/>
      <c r="G716" s="115">
        <f t="shared" si="108"/>
        <v>97</v>
      </c>
      <c r="H716" s="115"/>
      <c r="I716" s="115">
        <v>97</v>
      </c>
      <c r="J716" s="116"/>
      <c r="K716" s="115"/>
      <c r="L716" s="49" t="s">
        <v>26</v>
      </c>
      <c r="M716" s="106"/>
      <c r="N716" s="107"/>
    </row>
    <row r="717" spans="1:14" ht="57.75" customHeight="1">
      <c r="A717" s="562"/>
      <c r="B717" s="564"/>
      <c r="C717" s="563"/>
      <c r="D717" s="78" t="s">
        <v>27</v>
      </c>
      <c r="E717" s="115">
        <f t="shared" si="107"/>
        <v>97</v>
      </c>
      <c r="F717" s="115"/>
      <c r="G717" s="115">
        <f t="shared" si="108"/>
        <v>97</v>
      </c>
      <c r="H717" s="115"/>
      <c r="I717" s="115">
        <v>97</v>
      </c>
      <c r="J717" s="116"/>
      <c r="K717" s="115"/>
      <c r="L717" s="49" t="s">
        <v>27</v>
      </c>
      <c r="M717" s="106"/>
      <c r="N717" s="107"/>
    </row>
    <row r="718" spans="1:14" ht="27" customHeight="1">
      <c r="A718" s="565"/>
      <c r="B718" s="566" t="s">
        <v>379</v>
      </c>
      <c r="C718" s="567"/>
      <c r="D718" s="486">
        <v>2017</v>
      </c>
      <c r="E718" s="188">
        <f>E586+E595</f>
        <v>216780.416</v>
      </c>
      <c r="F718" s="188">
        <f>F586+F595</f>
        <v>124615.2</v>
      </c>
      <c r="G718" s="188">
        <f>G586+G595</f>
        <v>727</v>
      </c>
      <c r="H718" s="188">
        <f>H586+H595</f>
        <v>0</v>
      </c>
      <c r="I718" s="188">
        <f>I586+I595</f>
        <v>727</v>
      </c>
      <c r="J718" s="190">
        <f>J586+J595</f>
        <v>91438.216</v>
      </c>
      <c r="K718" s="188">
        <f>K595+K586+K574+K473+K472+K471+K470+K469+K468+K467+K284+K283</f>
        <v>0</v>
      </c>
      <c r="L718" s="378"/>
      <c r="M718" s="148"/>
      <c r="N718" s="149"/>
    </row>
    <row r="719" spans="1:14" ht="27" customHeight="1">
      <c r="A719" s="565"/>
      <c r="B719" s="566"/>
      <c r="C719" s="568"/>
      <c r="D719" s="569">
        <v>2018</v>
      </c>
      <c r="E719" s="549">
        <f>E605+E597</f>
        <v>209116.99978</v>
      </c>
      <c r="F719" s="549">
        <f>F605+F597</f>
        <v>137344.5</v>
      </c>
      <c r="G719" s="549">
        <f>G605+G597</f>
        <v>1006.9820000000001</v>
      </c>
      <c r="H719" s="549">
        <f>H605+H597</f>
        <v>0</v>
      </c>
      <c r="I719" s="549">
        <f>I605+I597</f>
        <v>1006.9820000000001</v>
      </c>
      <c r="J719" s="570">
        <f>J605+J597</f>
        <v>70765.51778000001</v>
      </c>
      <c r="K719" s="571">
        <f>K597</f>
        <v>0</v>
      </c>
      <c r="L719" s="378"/>
      <c r="M719" s="148"/>
      <c r="N719" s="149"/>
    </row>
    <row r="720" spans="1:14" ht="27" customHeight="1">
      <c r="A720" s="565"/>
      <c r="B720" s="566"/>
      <c r="C720" s="568"/>
      <c r="D720" s="572">
        <v>2019</v>
      </c>
      <c r="E720" s="114">
        <f>E611</f>
        <v>229770.53044</v>
      </c>
      <c r="F720" s="114">
        <f>F611</f>
        <v>150533.8</v>
      </c>
      <c r="G720" s="114">
        <f>G611</f>
        <v>1276.052</v>
      </c>
      <c r="H720" s="114">
        <f>H611</f>
        <v>0</v>
      </c>
      <c r="I720" s="114">
        <f>I611</f>
        <v>1276.052</v>
      </c>
      <c r="J720" s="116">
        <f>J611</f>
        <v>77960.67844</v>
      </c>
      <c r="K720" s="573">
        <f>K611</f>
        <v>0</v>
      </c>
      <c r="L720" s="378"/>
      <c r="M720" s="148"/>
      <c r="N720" s="149"/>
    </row>
    <row r="721" spans="1:14" ht="27" customHeight="1">
      <c r="A721" s="565"/>
      <c r="B721" s="566"/>
      <c r="C721" s="568"/>
      <c r="D721" s="572">
        <v>2020</v>
      </c>
      <c r="E721" s="114">
        <f>E621+E697</f>
        <v>237581.17301</v>
      </c>
      <c r="F721" s="114">
        <f>F621+F697</f>
        <v>151107</v>
      </c>
      <c r="G721" s="114">
        <f>G621+G697</f>
        <v>3250.1</v>
      </c>
      <c r="H721" s="114">
        <f>H621+H697</f>
        <v>1979.1</v>
      </c>
      <c r="I721" s="114">
        <f>I621+I697</f>
        <v>1271</v>
      </c>
      <c r="J721" s="116">
        <f>J621+J697</f>
        <v>83224.07301</v>
      </c>
      <c r="K721" s="573">
        <f>K621+K697</f>
        <v>0</v>
      </c>
      <c r="L721" s="378"/>
      <c r="M721" s="148"/>
      <c r="N721" s="149"/>
    </row>
    <row r="722" spans="1:14" ht="27" customHeight="1">
      <c r="A722" s="565"/>
      <c r="B722" s="566"/>
      <c r="C722" s="568"/>
      <c r="D722" s="572">
        <v>2021</v>
      </c>
      <c r="E722" s="114">
        <f>E700+E631</f>
        <v>246291.62796999997</v>
      </c>
      <c r="F722" s="114">
        <f>F700+F631</f>
        <v>157115</v>
      </c>
      <c r="G722" s="114">
        <f>G700+G631</f>
        <v>7957.82</v>
      </c>
      <c r="H722" s="114">
        <f>H700+H631</f>
        <v>5937</v>
      </c>
      <c r="I722" s="114">
        <f>I700+I631</f>
        <v>2020.82</v>
      </c>
      <c r="J722" s="116">
        <f>J700+J631</f>
        <v>81218.80796999998</v>
      </c>
      <c r="K722" s="114">
        <f>K700+K631</f>
        <v>0</v>
      </c>
      <c r="L722" s="378"/>
      <c r="M722" s="148"/>
      <c r="N722" s="149"/>
    </row>
    <row r="723" spans="1:14" ht="27" customHeight="1">
      <c r="A723" s="565"/>
      <c r="B723" s="566"/>
      <c r="C723" s="568"/>
      <c r="D723" s="572">
        <v>2022</v>
      </c>
      <c r="E723" s="114">
        <f>E703+E644</f>
        <v>261386.86053</v>
      </c>
      <c r="F723" s="114">
        <f>F703+F644</f>
        <v>169477.6</v>
      </c>
      <c r="G723" s="114">
        <f>G703+G644</f>
        <v>7425.8189999999995</v>
      </c>
      <c r="H723" s="114">
        <f>H703+H644</f>
        <v>5627.799999999999</v>
      </c>
      <c r="I723" s="114">
        <f>I703+I644</f>
        <v>1798.019</v>
      </c>
      <c r="J723" s="116">
        <f>J703+J644</f>
        <v>84483.44152999998</v>
      </c>
      <c r="K723" s="573">
        <f>K703+K644</f>
        <v>0</v>
      </c>
      <c r="L723" s="378"/>
      <c r="M723" s="148"/>
      <c r="N723" s="149"/>
    </row>
    <row r="724" spans="1:14" ht="27" customHeight="1">
      <c r="A724" s="565"/>
      <c r="B724" s="566"/>
      <c r="C724" s="568"/>
      <c r="D724" s="572">
        <v>2023</v>
      </c>
      <c r="E724" s="188">
        <f>E657+E706+E715</f>
        <v>276528.21208</v>
      </c>
      <c r="F724" s="188">
        <f>F657+F706+F715</f>
        <v>181111.47992</v>
      </c>
      <c r="G724" s="188">
        <f>G657+G706+G715</f>
        <v>8308.491</v>
      </c>
      <c r="H724" s="188">
        <f>H657+H706+H715</f>
        <v>6093.4</v>
      </c>
      <c r="I724" s="188">
        <f>I657+I706+I715</f>
        <v>2215.091</v>
      </c>
      <c r="J724" s="574">
        <f>J657+J706+J715</f>
        <v>87108.24116</v>
      </c>
      <c r="K724" s="575">
        <f>K706+K657</f>
        <v>0</v>
      </c>
      <c r="L724" s="378"/>
      <c r="M724" s="148"/>
      <c r="N724" s="149"/>
    </row>
    <row r="725" spans="1:14" ht="27" customHeight="1">
      <c r="A725" s="565"/>
      <c r="B725" s="566"/>
      <c r="C725" s="576"/>
      <c r="D725" s="577">
        <v>2024</v>
      </c>
      <c r="E725" s="188">
        <f>E670+E709</f>
        <v>268178.69800000003</v>
      </c>
      <c r="F725" s="188">
        <f>F670+F709</f>
        <v>160562</v>
      </c>
      <c r="G725" s="188">
        <f>G670+G709</f>
        <v>7725.7</v>
      </c>
      <c r="H725" s="188">
        <f>H670+H709</f>
        <v>6015.2</v>
      </c>
      <c r="I725" s="188">
        <f>I670+I709</f>
        <v>1710.5</v>
      </c>
      <c r="J725" s="190">
        <f>J670+J709</f>
        <v>99890.998</v>
      </c>
      <c r="K725" s="188">
        <f>K670+K709</f>
        <v>0</v>
      </c>
      <c r="L725" s="378"/>
      <c r="M725" s="148"/>
      <c r="N725" s="149"/>
    </row>
    <row r="726" spans="1:14" ht="27" customHeight="1">
      <c r="A726" s="578"/>
      <c r="B726" s="562"/>
      <c r="C726" s="562"/>
      <c r="D726" s="23">
        <v>2025</v>
      </c>
      <c r="E726" s="114">
        <f>E683+E712</f>
        <v>269285.952</v>
      </c>
      <c r="F726" s="114">
        <f>F683+F712</f>
        <v>160562</v>
      </c>
      <c r="G726" s="114">
        <f>G683+G712</f>
        <v>7725.7</v>
      </c>
      <c r="H726" s="114">
        <f>H683+H712</f>
        <v>6015.2</v>
      </c>
      <c r="I726" s="114">
        <f>I683+I712</f>
        <v>1710.5</v>
      </c>
      <c r="J726" s="116">
        <f>J683+J712</f>
        <v>100998.25200000001</v>
      </c>
      <c r="K726" s="114">
        <f>K683+K712</f>
        <v>0</v>
      </c>
      <c r="L726" s="49"/>
      <c r="M726" s="148"/>
      <c r="N726" s="149"/>
    </row>
    <row r="727" spans="1:14" ht="27" customHeight="1">
      <c r="A727" s="579" t="s">
        <v>380</v>
      </c>
      <c r="B727" s="579"/>
      <c r="C727" s="579"/>
      <c r="D727" s="579"/>
      <c r="E727" s="579"/>
      <c r="F727" s="579"/>
      <c r="G727" s="579"/>
      <c r="H727" s="579"/>
      <c r="I727" s="579"/>
      <c r="J727" s="579"/>
      <c r="K727" s="580"/>
      <c r="L727" s="580"/>
      <c r="M727" s="581"/>
      <c r="N727" s="582"/>
    </row>
    <row r="728" spans="1:14" ht="27" customHeight="1">
      <c r="A728" s="502" t="s">
        <v>381</v>
      </c>
      <c r="B728" s="583"/>
      <c r="C728" s="584"/>
      <c r="D728" s="584"/>
      <c r="E728" s="584"/>
      <c r="F728" s="584"/>
      <c r="G728" s="584"/>
      <c r="H728" s="584"/>
      <c r="I728" s="584"/>
      <c r="J728" s="585"/>
      <c r="K728" s="584"/>
      <c r="L728" s="584"/>
      <c r="M728" s="112"/>
      <c r="N728" s="113"/>
    </row>
    <row r="729" spans="1:14" ht="29.25" customHeight="1">
      <c r="A729" s="586" t="s">
        <v>382</v>
      </c>
      <c r="B729" s="587"/>
      <c r="C729" s="588"/>
      <c r="D729" s="588"/>
      <c r="E729" s="588"/>
      <c r="F729" s="588"/>
      <c r="G729" s="588"/>
      <c r="H729" s="588"/>
      <c r="I729" s="588"/>
      <c r="J729" s="589"/>
      <c r="K729" s="588"/>
      <c r="L729" s="588"/>
      <c r="M729" s="590"/>
      <c r="N729" s="591"/>
    </row>
    <row r="730" spans="1:14" ht="24.75" customHeight="1">
      <c r="A730" s="592" t="s">
        <v>383</v>
      </c>
      <c r="B730" s="593" t="s">
        <v>384</v>
      </c>
      <c r="C730" s="594"/>
      <c r="D730" s="227">
        <v>2017</v>
      </c>
      <c r="E730" s="38">
        <f aca="true" t="shared" si="109" ref="E730:E738">F730+G730+J730+K730</f>
        <v>7260.311</v>
      </c>
      <c r="F730" s="46"/>
      <c r="G730" s="46">
        <f aca="true" t="shared" si="110" ref="G730:G738">H730+I730</f>
        <v>0</v>
      </c>
      <c r="H730" s="38">
        <v>0</v>
      </c>
      <c r="I730" s="38">
        <v>0</v>
      </c>
      <c r="J730" s="39">
        <v>7260.311</v>
      </c>
      <c r="K730" s="46">
        <v>0</v>
      </c>
      <c r="L730" s="595" t="s">
        <v>385</v>
      </c>
      <c r="M730" s="148" t="s">
        <v>386</v>
      </c>
      <c r="N730" s="149"/>
    </row>
    <row r="731" spans="1:14" ht="24.75" customHeight="1">
      <c r="A731" s="592"/>
      <c r="B731" s="593"/>
      <c r="C731" s="594"/>
      <c r="D731" s="228">
        <v>2018</v>
      </c>
      <c r="E731" s="52">
        <f t="shared" si="109"/>
        <v>8308.2425</v>
      </c>
      <c r="F731" s="53"/>
      <c r="G731" s="53">
        <f t="shared" si="110"/>
        <v>0</v>
      </c>
      <c r="H731" s="52">
        <v>0</v>
      </c>
      <c r="I731" s="52">
        <v>0</v>
      </c>
      <c r="J731" s="21">
        <f>8213.1695+95.073</f>
        <v>8308.2425</v>
      </c>
      <c r="K731" s="53">
        <v>0</v>
      </c>
      <c r="L731" s="97" t="s">
        <v>385</v>
      </c>
      <c r="M731" s="148"/>
      <c r="N731" s="149"/>
    </row>
    <row r="732" spans="1:14" ht="24.75" customHeight="1">
      <c r="A732" s="592"/>
      <c r="B732" s="593"/>
      <c r="C732" s="594"/>
      <c r="D732" s="228">
        <v>2019</v>
      </c>
      <c r="E732" s="52">
        <f t="shared" si="109"/>
        <v>8783.56033</v>
      </c>
      <c r="F732" s="53"/>
      <c r="G732" s="53">
        <f t="shared" si="110"/>
        <v>0</v>
      </c>
      <c r="H732" s="52">
        <v>0</v>
      </c>
      <c r="I732" s="52">
        <v>0</v>
      </c>
      <c r="J732" s="21">
        <f>8729.252+86.622-32.31367</f>
        <v>8783.56033</v>
      </c>
      <c r="K732" s="52">
        <v>0</v>
      </c>
      <c r="L732" s="97" t="s">
        <v>385</v>
      </c>
      <c r="M732" s="148"/>
      <c r="N732" s="149"/>
    </row>
    <row r="733" spans="1:14" ht="24.75" customHeight="1">
      <c r="A733" s="592"/>
      <c r="B733" s="593"/>
      <c r="C733" s="594"/>
      <c r="D733" s="228">
        <v>2020</v>
      </c>
      <c r="E733" s="52">
        <f t="shared" si="109"/>
        <v>9039.217999999999</v>
      </c>
      <c r="F733" s="53"/>
      <c r="G733" s="53">
        <f t="shared" si="110"/>
        <v>0</v>
      </c>
      <c r="H733" s="52">
        <v>0</v>
      </c>
      <c r="I733" s="52">
        <v>0</v>
      </c>
      <c r="J733" s="21">
        <f>8976.345+62.873</f>
        <v>9039.217999999999</v>
      </c>
      <c r="K733" s="53">
        <v>0</v>
      </c>
      <c r="L733" s="97" t="s">
        <v>385</v>
      </c>
      <c r="M733" s="148"/>
      <c r="N733" s="149"/>
    </row>
    <row r="734" spans="1:14" ht="24.75" customHeight="1">
      <c r="A734" s="592"/>
      <c r="B734" s="593"/>
      <c r="C734" s="594"/>
      <c r="D734" s="228">
        <v>2021</v>
      </c>
      <c r="E734" s="52">
        <f t="shared" si="109"/>
        <v>9362.219</v>
      </c>
      <c r="F734" s="53"/>
      <c r="G734" s="53">
        <f t="shared" si="110"/>
        <v>0</v>
      </c>
      <c r="H734" s="52">
        <v>0</v>
      </c>
      <c r="I734" s="52">
        <v>0</v>
      </c>
      <c r="J734" s="21">
        <v>9362.219</v>
      </c>
      <c r="K734" s="53">
        <v>0</v>
      </c>
      <c r="L734" s="97" t="s">
        <v>385</v>
      </c>
      <c r="M734" s="148"/>
      <c r="N734" s="149"/>
    </row>
    <row r="735" spans="1:14" ht="24.75" customHeight="1">
      <c r="A735" s="592"/>
      <c r="B735" s="593"/>
      <c r="C735" s="596"/>
      <c r="D735" s="228">
        <v>2022</v>
      </c>
      <c r="E735" s="52">
        <f t="shared" si="109"/>
        <v>10001.615</v>
      </c>
      <c r="F735" s="53"/>
      <c r="G735" s="53">
        <f t="shared" si="110"/>
        <v>0</v>
      </c>
      <c r="H735" s="52">
        <v>0</v>
      </c>
      <c r="I735" s="52">
        <v>0</v>
      </c>
      <c r="J735" s="21">
        <v>10001.615</v>
      </c>
      <c r="K735" s="53">
        <v>0</v>
      </c>
      <c r="L735" s="97" t="s">
        <v>385</v>
      </c>
      <c r="M735" s="148"/>
      <c r="N735" s="149"/>
    </row>
    <row r="736" spans="1:14" ht="24.75" customHeight="1">
      <c r="A736" s="592"/>
      <c r="B736" s="593"/>
      <c r="C736" s="596"/>
      <c r="D736" s="486">
        <v>2023</v>
      </c>
      <c r="E736" s="70">
        <f t="shared" si="109"/>
        <v>13977.840970000001</v>
      </c>
      <c r="F736" s="71"/>
      <c r="G736" s="71">
        <f t="shared" si="110"/>
        <v>0</v>
      </c>
      <c r="H736" s="70">
        <v>0</v>
      </c>
      <c r="I736" s="70">
        <v>0</v>
      </c>
      <c r="J736" s="265">
        <f>10260.72486+3098.74211+618.374</f>
        <v>13977.840970000001</v>
      </c>
      <c r="K736" s="71">
        <v>0</v>
      </c>
      <c r="L736" s="312" t="s">
        <v>385</v>
      </c>
      <c r="M736" s="148"/>
      <c r="N736" s="149"/>
    </row>
    <row r="737" spans="1:14" ht="24.75" customHeight="1">
      <c r="A737" s="592"/>
      <c r="B737" s="593"/>
      <c r="C737" s="596"/>
      <c r="D737" s="486">
        <v>2024</v>
      </c>
      <c r="E737" s="70">
        <f t="shared" si="109"/>
        <v>10403.509</v>
      </c>
      <c r="F737" s="71"/>
      <c r="G737" s="71">
        <f t="shared" si="110"/>
        <v>0</v>
      </c>
      <c r="H737" s="70">
        <v>0</v>
      </c>
      <c r="I737" s="70">
        <v>0</v>
      </c>
      <c r="J737" s="265">
        <v>10403.509</v>
      </c>
      <c r="K737" s="71">
        <v>0</v>
      </c>
      <c r="L737" s="312" t="s">
        <v>385</v>
      </c>
      <c r="M737" s="148"/>
      <c r="N737" s="559"/>
    </row>
    <row r="738" spans="1:14" s="513" customFormat="1" ht="24.75" customHeight="1">
      <c r="A738" s="560"/>
      <c r="B738" s="148"/>
      <c r="C738" s="148"/>
      <c r="D738" s="23">
        <v>2025</v>
      </c>
      <c r="E738" s="52">
        <f t="shared" si="109"/>
        <v>10403.509</v>
      </c>
      <c r="F738" s="53"/>
      <c r="G738" s="71">
        <f t="shared" si="110"/>
        <v>0</v>
      </c>
      <c r="H738" s="70">
        <v>0</v>
      </c>
      <c r="I738" s="70">
        <v>0</v>
      </c>
      <c r="J738" s="21">
        <v>10403.509</v>
      </c>
      <c r="K738" s="53">
        <v>0</v>
      </c>
      <c r="L738" s="148" t="s">
        <v>385</v>
      </c>
      <c r="M738" s="148"/>
      <c r="N738" s="148"/>
    </row>
    <row r="739" spans="1:14" ht="27" customHeight="1">
      <c r="A739" s="597" t="s">
        <v>387</v>
      </c>
      <c r="B739" s="597"/>
      <c r="C739" s="597"/>
      <c r="D739" s="597"/>
      <c r="E739" s="597"/>
      <c r="F739" s="597"/>
      <c r="G739" s="597"/>
      <c r="H739" s="597"/>
      <c r="I739" s="598"/>
      <c r="J739" s="598"/>
      <c r="K739" s="598"/>
      <c r="L739" s="598"/>
      <c r="M739" s="598"/>
      <c r="N739" s="599"/>
    </row>
    <row r="740" spans="1:14" ht="27" customHeight="1">
      <c r="A740" s="600" t="s">
        <v>388</v>
      </c>
      <c r="B740" s="600"/>
      <c r="C740" s="600"/>
      <c r="D740" s="600"/>
      <c r="E740" s="600"/>
      <c r="F740" s="600"/>
      <c r="G740" s="600"/>
      <c r="H740" s="600"/>
      <c r="I740" s="601"/>
      <c r="K740" s="601"/>
      <c r="L740" s="601"/>
      <c r="M740" s="602"/>
      <c r="N740" s="602"/>
    </row>
    <row r="741" spans="1:14" ht="27" customHeight="1">
      <c r="A741" s="603" t="s">
        <v>389</v>
      </c>
      <c r="B741" s="603"/>
      <c r="C741" s="603"/>
      <c r="D741" s="603"/>
      <c r="E741" s="603"/>
      <c r="F741" s="603"/>
      <c r="G741" s="604"/>
      <c r="H741" s="604"/>
      <c r="I741" s="604"/>
      <c r="J741" s="605"/>
      <c r="K741" s="604"/>
      <c r="L741" s="604"/>
      <c r="M741" s="606"/>
      <c r="N741" s="602"/>
    </row>
    <row r="742" spans="1:14" ht="50.25" customHeight="1">
      <c r="A742" s="607" t="s">
        <v>390</v>
      </c>
      <c r="B742" s="608" t="s">
        <v>391</v>
      </c>
      <c r="C742" s="609"/>
      <c r="D742" s="23">
        <v>2017</v>
      </c>
      <c r="E742" s="610">
        <f aca="true" t="shared" si="111" ref="E742:E770">F742+G742+J742+K742</f>
        <v>292.4</v>
      </c>
      <c r="F742" s="176">
        <v>292.4</v>
      </c>
      <c r="G742" s="176">
        <f aca="true" t="shared" si="112" ref="G742:G747">H742+I742</f>
        <v>0</v>
      </c>
      <c r="H742" s="176"/>
      <c r="I742" s="176">
        <v>0</v>
      </c>
      <c r="J742" s="177">
        <v>0</v>
      </c>
      <c r="K742" s="176">
        <v>0</v>
      </c>
      <c r="L742" s="611" t="s">
        <v>62</v>
      </c>
      <c r="M742" s="148" t="s">
        <v>392</v>
      </c>
      <c r="N742" s="149"/>
    </row>
    <row r="743" spans="1:14" ht="42.75" customHeight="1">
      <c r="A743" s="607"/>
      <c r="B743" s="608"/>
      <c r="C743" s="612"/>
      <c r="D743" s="23">
        <v>2018</v>
      </c>
      <c r="E743" s="613">
        <f t="shared" si="111"/>
        <v>233.2</v>
      </c>
      <c r="F743" s="115">
        <v>233.2</v>
      </c>
      <c r="G743" s="115">
        <f t="shared" si="112"/>
        <v>0</v>
      </c>
      <c r="H743" s="115"/>
      <c r="I743" s="115">
        <v>0</v>
      </c>
      <c r="J743" s="116">
        <v>0</v>
      </c>
      <c r="K743" s="115">
        <v>0</v>
      </c>
      <c r="L743" s="97" t="s">
        <v>62</v>
      </c>
      <c r="M743" s="148"/>
      <c r="N743" s="149"/>
    </row>
    <row r="744" spans="1:14" ht="41.25" customHeight="1">
      <c r="A744" s="607"/>
      <c r="B744" s="608"/>
      <c r="C744" s="612"/>
      <c r="D744" s="23">
        <v>2019</v>
      </c>
      <c r="E744" s="613">
        <f t="shared" si="111"/>
        <v>281.9</v>
      </c>
      <c r="F744" s="115">
        <v>281.9</v>
      </c>
      <c r="G744" s="115">
        <f t="shared" si="112"/>
        <v>0</v>
      </c>
      <c r="H744" s="115"/>
      <c r="I744" s="115">
        <v>0</v>
      </c>
      <c r="J744" s="116">
        <v>0</v>
      </c>
      <c r="K744" s="115">
        <v>0</v>
      </c>
      <c r="L744" s="97" t="s">
        <v>62</v>
      </c>
      <c r="M744" s="148"/>
      <c r="N744" s="149"/>
    </row>
    <row r="745" spans="1:14" ht="45.75" customHeight="1">
      <c r="A745" s="607"/>
      <c r="B745" s="608"/>
      <c r="C745" s="612"/>
      <c r="D745" s="23">
        <v>2020</v>
      </c>
      <c r="E745" s="613">
        <f t="shared" si="111"/>
        <v>216.2</v>
      </c>
      <c r="F745" s="115">
        <v>216.2</v>
      </c>
      <c r="G745" s="115">
        <f t="shared" si="112"/>
        <v>0</v>
      </c>
      <c r="H745" s="115"/>
      <c r="I745" s="115">
        <v>0</v>
      </c>
      <c r="J745" s="116">
        <v>0</v>
      </c>
      <c r="K745" s="115">
        <v>0</v>
      </c>
      <c r="L745" s="97" t="s">
        <v>62</v>
      </c>
      <c r="M745" s="148"/>
      <c r="N745" s="149"/>
    </row>
    <row r="746" spans="1:14" ht="45.75" customHeight="1">
      <c r="A746" s="607"/>
      <c r="B746" s="608"/>
      <c r="C746" s="612"/>
      <c r="D746" s="23">
        <v>2021</v>
      </c>
      <c r="E746" s="613">
        <f t="shared" si="111"/>
        <v>203.5</v>
      </c>
      <c r="F746" s="115">
        <f>201.2+2.3</f>
        <v>203.5</v>
      </c>
      <c r="G746" s="115">
        <f t="shared" si="112"/>
        <v>0</v>
      </c>
      <c r="H746" s="115"/>
      <c r="I746" s="115">
        <v>0</v>
      </c>
      <c r="J746" s="116">
        <v>0</v>
      </c>
      <c r="K746" s="115">
        <v>0</v>
      </c>
      <c r="L746" s="97" t="s">
        <v>62</v>
      </c>
      <c r="M746" s="148"/>
      <c r="N746" s="149"/>
    </row>
    <row r="747" spans="1:14" ht="42" customHeight="1">
      <c r="A747" s="607"/>
      <c r="B747" s="608"/>
      <c r="C747" s="612"/>
      <c r="D747" s="23">
        <v>2022</v>
      </c>
      <c r="E747" s="613">
        <f t="shared" si="111"/>
        <v>260</v>
      </c>
      <c r="F747" s="189">
        <v>260</v>
      </c>
      <c r="G747" s="189">
        <f t="shared" si="112"/>
        <v>0</v>
      </c>
      <c r="H747" s="189"/>
      <c r="I747" s="189">
        <v>0</v>
      </c>
      <c r="J747" s="190">
        <v>0</v>
      </c>
      <c r="K747" s="189">
        <v>0</v>
      </c>
      <c r="L747" s="312" t="s">
        <v>62</v>
      </c>
      <c r="M747" s="148"/>
      <c r="N747" s="149"/>
    </row>
    <row r="748" spans="1:14" ht="41.25" customHeight="1">
      <c r="A748" s="607"/>
      <c r="B748" s="608"/>
      <c r="C748" s="612"/>
      <c r="D748" s="23">
        <v>2023</v>
      </c>
      <c r="E748" s="614">
        <f t="shared" si="111"/>
        <v>233.8</v>
      </c>
      <c r="F748" s="114">
        <v>233.8</v>
      </c>
      <c r="G748" s="115">
        <v>0</v>
      </c>
      <c r="H748" s="115">
        <v>0</v>
      </c>
      <c r="I748" s="115">
        <v>0</v>
      </c>
      <c r="J748" s="116">
        <v>0</v>
      </c>
      <c r="K748" s="115">
        <v>0</v>
      </c>
      <c r="L748" s="312" t="s">
        <v>62</v>
      </c>
      <c r="M748" s="148"/>
      <c r="N748" s="149"/>
    </row>
    <row r="749" spans="1:14" ht="42" customHeight="1">
      <c r="A749" s="607"/>
      <c r="B749" s="608"/>
      <c r="C749" s="612"/>
      <c r="D749" s="23">
        <v>2024</v>
      </c>
      <c r="E749" s="613">
        <f t="shared" si="111"/>
        <v>206.3</v>
      </c>
      <c r="F749" s="212">
        <v>206.3</v>
      </c>
      <c r="G749" s="212">
        <v>0</v>
      </c>
      <c r="H749" s="212">
        <v>0</v>
      </c>
      <c r="I749" s="212">
        <v>0</v>
      </c>
      <c r="J749" s="196">
        <v>0</v>
      </c>
      <c r="K749" s="212">
        <v>0</v>
      </c>
      <c r="L749" s="312" t="s">
        <v>62</v>
      </c>
      <c r="M749" s="148"/>
      <c r="N749" s="149"/>
    </row>
    <row r="750" spans="1:14" ht="47.25" customHeight="1">
      <c r="A750" s="233"/>
      <c r="B750" s="615"/>
      <c r="C750" s="616"/>
      <c r="D750" s="391">
        <v>2025</v>
      </c>
      <c r="E750" s="613">
        <f t="shared" si="111"/>
        <v>206.3</v>
      </c>
      <c r="F750" s="212">
        <v>206.3</v>
      </c>
      <c r="G750" s="212">
        <v>0</v>
      </c>
      <c r="H750" s="212">
        <v>0</v>
      </c>
      <c r="I750" s="212">
        <v>0</v>
      </c>
      <c r="J750" s="196">
        <v>0</v>
      </c>
      <c r="K750" s="212">
        <v>0</v>
      </c>
      <c r="L750" s="312" t="s">
        <v>62</v>
      </c>
      <c r="M750" s="148"/>
      <c r="N750" s="149"/>
    </row>
    <row r="751" spans="1:14" ht="44.25" customHeight="1">
      <c r="A751" s="617" t="s">
        <v>393</v>
      </c>
      <c r="B751" s="152" t="s">
        <v>394</v>
      </c>
      <c r="C751" s="618"/>
      <c r="D751" s="391">
        <v>2017</v>
      </c>
      <c r="E751" s="619">
        <f t="shared" si="111"/>
        <v>96.8</v>
      </c>
      <c r="F751" s="619">
        <v>0</v>
      </c>
      <c r="G751" s="619">
        <f aca="true" t="shared" si="113" ref="G751:G756">H751+I751</f>
        <v>96.8</v>
      </c>
      <c r="H751" s="619"/>
      <c r="I751" s="619">
        <v>96.8</v>
      </c>
      <c r="J751" s="570">
        <v>0</v>
      </c>
      <c r="K751" s="619">
        <v>0</v>
      </c>
      <c r="L751" s="595" t="s">
        <v>62</v>
      </c>
      <c r="M751" s="148" t="s">
        <v>395</v>
      </c>
      <c r="N751" s="149"/>
    </row>
    <row r="752" spans="1:14" ht="51" customHeight="1">
      <c r="A752" s="617"/>
      <c r="B752" s="152"/>
      <c r="C752" s="618"/>
      <c r="D752" s="23">
        <v>2018</v>
      </c>
      <c r="E752" s="115">
        <f t="shared" si="111"/>
        <v>127.3</v>
      </c>
      <c r="F752" s="115">
        <v>0</v>
      </c>
      <c r="G752" s="115">
        <f t="shared" si="113"/>
        <v>127.3</v>
      </c>
      <c r="H752" s="115"/>
      <c r="I752" s="115">
        <v>127.3</v>
      </c>
      <c r="J752" s="116">
        <v>0</v>
      </c>
      <c r="K752" s="115">
        <v>0</v>
      </c>
      <c r="L752" s="97" t="s">
        <v>62</v>
      </c>
      <c r="M752" s="148"/>
      <c r="N752" s="149"/>
    </row>
    <row r="753" spans="1:14" ht="41.25" customHeight="1">
      <c r="A753" s="617"/>
      <c r="B753" s="152"/>
      <c r="C753" s="618"/>
      <c r="D753" s="23">
        <v>2019</v>
      </c>
      <c r="E753" s="115">
        <f t="shared" si="111"/>
        <v>132.7</v>
      </c>
      <c r="F753" s="115">
        <v>0</v>
      </c>
      <c r="G753" s="115">
        <f t="shared" si="113"/>
        <v>132.7</v>
      </c>
      <c r="H753" s="115"/>
      <c r="I753" s="115">
        <v>132.7</v>
      </c>
      <c r="J753" s="116">
        <v>0</v>
      </c>
      <c r="K753" s="115">
        <v>0</v>
      </c>
      <c r="L753" s="97" t="s">
        <v>62</v>
      </c>
      <c r="M753" s="148"/>
      <c r="N753" s="149"/>
    </row>
    <row r="754" spans="1:14" ht="45.75" customHeight="1">
      <c r="A754" s="617"/>
      <c r="B754" s="152"/>
      <c r="C754" s="618"/>
      <c r="D754" s="23">
        <v>2020</v>
      </c>
      <c r="E754" s="115">
        <f t="shared" si="111"/>
        <v>134.4</v>
      </c>
      <c r="F754" s="115">
        <v>134.4</v>
      </c>
      <c r="G754" s="115">
        <f t="shared" si="113"/>
        <v>0</v>
      </c>
      <c r="H754" s="115"/>
      <c r="I754" s="115">
        <v>0</v>
      </c>
      <c r="J754" s="116">
        <v>0</v>
      </c>
      <c r="K754" s="115">
        <v>0</v>
      </c>
      <c r="L754" s="97" t="s">
        <v>62</v>
      </c>
      <c r="M754" s="148"/>
      <c r="N754" s="149"/>
    </row>
    <row r="755" spans="1:14" ht="44.25" customHeight="1">
      <c r="A755" s="617"/>
      <c r="B755" s="152"/>
      <c r="C755" s="618"/>
      <c r="D755" s="23">
        <v>2021</v>
      </c>
      <c r="E755" s="115">
        <f t="shared" si="111"/>
        <v>288.7</v>
      </c>
      <c r="F755" s="115">
        <v>288.7</v>
      </c>
      <c r="G755" s="115">
        <f t="shared" si="113"/>
        <v>0</v>
      </c>
      <c r="H755" s="115"/>
      <c r="I755" s="115">
        <v>0</v>
      </c>
      <c r="J755" s="116">
        <v>0</v>
      </c>
      <c r="K755" s="115">
        <v>0</v>
      </c>
      <c r="L755" s="97" t="s">
        <v>62</v>
      </c>
      <c r="M755" s="148"/>
      <c r="N755" s="149"/>
    </row>
    <row r="756" spans="1:14" ht="44.25" customHeight="1">
      <c r="A756" s="617"/>
      <c r="B756" s="152"/>
      <c r="C756" s="618"/>
      <c r="D756" s="23">
        <v>2022</v>
      </c>
      <c r="E756" s="115">
        <f t="shared" si="111"/>
        <v>292.1</v>
      </c>
      <c r="F756" s="115">
        <v>292.1</v>
      </c>
      <c r="G756" s="115">
        <f t="shared" si="113"/>
        <v>0</v>
      </c>
      <c r="H756" s="115"/>
      <c r="I756" s="115">
        <v>0</v>
      </c>
      <c r="J756" s="116">
        <v>0</v>
      </c>
      <c r="K756" s="115">
        <v>0</v>
      </c>
      <c r="L756" s="97" t="s">
        <v>62</v>
      </c>
      <c r="M756" s="148"/>
      <c r="N756" s="149"/>
    </row>
    <row r="757" spans="1:14" ht="43.5" customHeight="1">
      <c r="A757" s="617"/>
      <c r="B757" s="152"/>
      <c r="C757" s="618"/>
      <c r="D757" s="371">
        <v>2023</v>
      </c>
      <c r="E757" s="189">
        <f t="shared" si="111"/>
        <v>308.8</v>
      </c>
      <c r="F757" s="188">
        <v>308.8</v>
      </c>
      <c r="G757" s="189">
        <v>0</v>
      </c>
      <c r="H757" s="189"/>
      <c r="I757" s="189">
        <v>0</v>
      </c>
      <c r="J757" s="190">
        <v>0</v>
      </c>
      <c r="K757" s="189">
        <v>0</v>
      </c>
      <c r="L757" s="312" t="s">
        <v>62</v>
      </c>
      <c r="M757" s="148"/>
      <c r="N757" s="149"/>
    </row>
    <row r="758" spans="1:14" ht="46.5" customHeight="1">
      <c r="A758" s="617"/>
      <c r="B758" s="152"/>
      <c r="C758" s="620"/>
      <c r="D758" s="23">
        <v>2024</v>
      </c>
      <c r="E758" s="115">
        <f t="shared" si="111"/>
        <v>367.1</v>
      </c>
      <c r="F758" s="115">
        <v>367.1</v>
      </c>
      <c r="G758" s="115">
        <v>0</v>
      </c>
      <c r="H758" s="115"/>
      <c r="I758" s="115">
        <v>0</v>
      </c>
      <c r="J758" s="116">
        <v>0</v>
      </c>
      <c r="K758" s="115">
        <v>0</v>
      </c>
      <c r="L758" s="148" t="s">
        <v>62</v>
      </c>
      <c r="M758" s="148"/>
      <c r="N758" s="149"/>
    </row>
    <row r="759" spans="1:14" ht="46.5" customHeight="1">
      <c r="A759" s="621"/>
      <c r="B759" s="152"/>
      <c r="C759" s="620"/>
      <c r="D759" s="23">
        <v>2025</v>
      </c>
      <c r="E759" s="115">
        <f t="shared" si="111"/>
        <v>367.1</v>
      </c>
      <c r="F759" s="115">
        <v>367.1</v>
      </c>
      <c r="G759" s="115">
        <v>0</v>
      </c>
      <c r="H759" s="115"/>
      <c r="I759" s="115">
        <v>0</v>
      </c>
      <c r="J759" s="116">
        <v>0</v>
      </c>
      <c r="K759" s="115">
        <v>0</v>
      </c>
      <c r="L759" s="148" t="s">
        <v>62</v>
      </c>
      <c r="M759" s="148"/>
      <c r="N759" s="149"/>
    </row>
    <row r="760" spans="1:14" ht="54.75" customHeight="1">
      <c r="A760" s="622" t="s">
        <v>396</v>
      </c>
      <c r="B760" s="152" t="s">
        <v>397</v>
      </c>
      <c r="C760" s="148"/>
      <c r="D760" s="391">
        <v>2017</v>
      </c>
      <c r="E760" s="176">
        <f t="shared" si="111"/>
        <v>5391.1</v>
      </c>
      <c r="F760" s="176">
        <v>5391.1</v>
      </c>
      <c r="G760" s="176">
        <f aca="true" t="shared" si="114" ref="G760:G770">H760+I760</f>
        <v>0</v>
      </c>
      <c r="H760" s="176"/>
      <c r="I760" s="176">
        <v>0</v>
      </c>
      <c r="J760" s="177">
        <v>0</v>
      </c>
      <c r="K760" s="176">
        <v>0</v>
      </c>
      <c r="L760" s="611" t="s">
        <v>62</v>
      </c>
      <c r="M760" s="148" t="s">
        <v>398</v>
      </c>
      <c r="N760" s="149"/>
    </row>
    <row r="761" spans="1:22" ht="43.5" customHeight="1">
      <c r="A761" s="622"/>
      <c r="B761" s="152"/>
      <c r="C761" s="148"/>
      <c r="D761" s="23">
        <v>2018</v>
      </c>
      <c r="E761" s="115">
        <f t="shared" si="111"/>
        <v>5870.4</v>
      </c>
      <c r="F761" s="115">
        <v>5870.4</v>
      </c>
      <c r="G761" s="115">
        <f t="shared" si="114"/>
        <v>0</v>
      </c>
      <c r="H761" s="115"/>
      <c r="I761" s="115">
        <v>0</v>
      </c>
      <c r="J761" s="116">
        <v>0</v>
      </c>
      <c r="K761" s="115">
        <v>0</v>
      </c>
      <c r="L761" s="97" t="s">
        <v>62</v>
      </c>
      <c r="M761" s="148"/>
      <c r="N761" s="149"/>
      <c r="R761" s="290"/>
      <c r="S761" s="290"/>
      <c r="T761" s="290"/>
      <c r="U761" s="290"/>
      <c r="V761" s="290"/>
    </row>
    <row r="762" spans="1:22" ht="48.75" customHeight="1">
      <c r="A762" s="622"/>
      <c r="B762" s="152"/>
      <c r="C762" s="467"/>
      <c r="D762" s="23">
        <v>2019</v>
      </c>
      <c r="E762" s="115">
        <f t="shared" si="111"/>
        <v>6295.7</v>
      </c>
      <c r="F762" s="115">
        <f>5735.3+560.4</f>
        <v>6295.7</v>
      </c>
      <c r="G762" s="115">
        <f t="shared" si="114"/>
        <v>0</v>
      </c>
      <c r="H762" s="115"/>
      <c r="I762" s="115">
        <v>0</v>
      </c>
      <c r="J762" s="116">
        <v>0</v>
      </c>
      <c r="K762" s="115">
        <v>0</v>
      </c>
      <c r="L762" s="97" t="s">
        <v>62</v>
      </c>
      <c r="M762" s="148"/>
      <c r="N762" s="149"/>
      <c r="R762" s="290"/>
      <c r="S762" s="290"/>
      <c r="T762" s="290"/>
      <c r="U762" s="290"/>
      <c r="V762" s="290"/>
    </row>
    <row r="763" spans="1:22" ht="52.5" customHeight="1">
      <c r="A763" s="622"/>
      <c r="B763" s="152"/>
      <c r="C763" s="467"/>
      <c r="D763" s="23">
        <v>2020</v>
      </c>
      <c r="E763" s="115">
        <f t="shared" si="111"/>
        <v>5046.599999999999</v>
      </c>
      <c r="F763" s="115">
        <f>6203.9-1157.3</f>
        <v>5046.599999999999</v>
      </c>
      <c r="G763" s="115">
        <f t="shared" si="114"/>
        <v>0</v>
      </c>
      <c r="H763" s="115"/>
      <c r="I763" s="115">
        <v>0</v>
      </c>
      <c r="J763" s="116">
        <v>0</v>
      </c>
      <c r="K763" s="115">
        <v>0</v>
      </c>
      <c r="L763" s="97" t="s">
        <v>62</v>
      </c>
      <c r="M763" s="148"/>
      <c r="N763" s="149"/>
      <c r="R763" s="290"/>
      <c r="S763" s="290"/>
      <c r="T763" s="290"/>
      <c r="U763" s="290"/>
      <c r="V763" s="290"/>
    </row>
    <row r="764" spans="1:22" ht="53.25" customHeight="1">
      <c r="A764" s="622"/>
      <c r="B764" s="152"/>
      <c r="C764" s="467"/>
      <c r="D764" s="23">
        <v>2021</v>
      </c>
      <c r="E764" s="115">
        <f t="shared" si="111"/>
        <v>6124.2</v>
      </c>
      <c r="F764" s="115">
        <f>5858.2+266</f>
        <v>6124.2</v>
      </c>
      <c r="G764" s="115">
        <f t="shared" si="114"/>
        <v>0</v>
      </c>
      <c r="H764" s="115"/>
      <c r="I764" s="115">
        <v>0</v>
      </c>
      <c r="J764" s="116">
        <v>0</v>
      </c>
      <c r="K764" s="115">
        <v>0</v>
      </c>
      <c r="L764" s="97" t="s">
        <v>62</v>
      </c>
      <c r="M764" s="148"/>
      <c r="N764" s="149"/>
      <c r="R764" s="290"/>
      <c r="S764" s="290"/>
      <c r="T764" s="290"/>
      <c r="U764" s="290"/>
      <c r="V764" s="290"/>
    </row>
    <row r="765" spans="1:22" ht="48" customHeight="1">
      <c r="A765" s="622"/>
      <c r="B765" s="152"/>
      <c r="C765" s="467"/>
      <c r="D765" s="23">
        <v>2022</v>
      </c>
      <c r="E765" s="115">
        <f t="shared" si="111"/>
        <v>5911.6</v>
      </c>
      <c r="F765" s="115">
        <v>5911.6</v>
      </c>
      <c r="G765" s="115">
        <f t="shared" si="114"/>
        <v>0</v>
      </c>
      <c r="H765" s="115"/>
      <c r="I765" s="115">
        <v>0</v>
      </c>
      <c r="J765" s="116">
        <v>0</v>
      </c>
      <c r="K765" s="115">
        <v>0</v>
      </c>
      <c r="L765" s="97" t="s">
        <v>62</v>
      </c>
      <c r="M765" s="148"/>
      <c r="N765" s="149"/>
      <c r="R765" s="290"/>
      <c r="S765" s="290"/>
      <c r="T765" s="290"/>
      <c r="U765" s="290"/>
      <c r="V765" s="290"/>
    </row>
    <row r="766" spans="1:22" ht="58.5" customHeight="1">
      <c r="A766" s="622"/>
      <c r="B766" s="152"/>
      <c r="C766" s="334"/>
      <c r="D766" s="371">
        <v>2023</v>
      </c>
      <c r="E766" s="189">
        <f t="shared" si="111"/>
        <v>5723.2</v>
      </c>
      <c r="F766" s="189">
        <v>5723.2</v>
      </c>
      <c r="G766" s="189">
        <f t="shared" si="114"/>
        <v>0</v>
      </c>
      <c r="H766" s="189"/>
      <c r="I766" s="189">
        <v>0</v>
      </c>
      <c r="J766" s="190">
        <v>0</v>
      </c>
      <c r="K766" s="189">
        <v>0</v>
      </c>
      <c r="L766" s="312" t="s">
        <v>62</v>
      </c>
      <c r="M766" s="148"/>
      <c r="N766" s="149"/>
      <c r="R766" s="290"/>
      <c r="S766" s="290"/>
      <c r="T766" s="290"/>
      <c r="U766" s="290"/>
      <c r="V766" s="290"/>
    </row>
    <row r="767" spans="1:22" ht="50.25" customHeight="1">
      <c r="A767" s="622"/>
      <c r="B767" s="152"/>
      <c r="C767" s="467"/>
      <c r="D767" s="23">
        <v>2024</v>
      </c>
      <c r="E767" s="115">
        <f t="shared" si="111"/>
        <v>5911.6</v>
      </c>
      <c r="F767" s="115">
        <v>5911.6</v>
      </c>
      <c r="G767" s="115">
        <f t="shared" si="114"/>
        <v>0</v>
      </c>
      <c r="H767" s="115"/>
      <c r="I767" s="115">
        <v>0</v>
      </c>
      <c r="J767" s="116">
        <v>0</v>
      </c>
      <c r="K767" s="115">
        <v>0</v>
      </c>
      <c r="L767" s="148" t="s">
        <v>62</v>
      </c>
      <c r="M767" s="148"/>
      <c r="N767" s="149"/>
      <c r="R767" s="290"/>
      <c r="S767" s="290"/>
      <c r="T767" s="290"/>
      <c r="U767" s="290"/>
      <c r="V767" s="290"/>
    </row>
    <row r="768" spans="1:22" ht="50.25" customHeight="1">
      <c r="A768" s="623"/>
      <c r="B768" s="620"/>
      <c r="C768" s="467"/>
      <c r="D768" s="23">
        <v>2025</v>
      </c>
      <c r="E768" s="115">
        <f t="shared" si="111"/>
        <v>5911.6</v>
      </c>
      <c r="F768" s="115">
        <v>5911.6</v>
      </c>
      <c r="G768" s="115">
        <f t="shared" si="114"/>
        <v>0</v>
      </c>
      <c r="H768" s="115"/>
      <c r="I768" s="115">
        <v>0</v>
      </c>
      <c r="J768" s="116">
        <v>0</v>
      </c>
      <c r="K768" s="115">
        <v>0</v>
      </c>
      <c r="L768" s="148" t="s">
        <v>62</v>
      </c>
      <c r="M768" s="148"/>
      <c r="N768" s="149"/>
      <c r="R768" s="290"/>
      <c r="S768" s="290"/>
      <c r="T768" s="290"/>
      <c r="U768" s="290"/>
      <c r="V768" s="290"/>
    </row>
    <row r="769" spans="1:22" ht="30.75" customHeight="1">
      <c r="A769" s="560"/>
      <c r="B769" s="624" t="s">
        <v>399</v>
      </c>
      <c r="C769" s="625"/>
      <c r="D769" s="228">
        <v>2017</v>
      </c>
      <c r="E769" s="114">
        <f t="shared" si="111"/>
        <v>5780.3</v>
      </c>
      <c r="F769" s="114">
        <f aca="true" t="shared" si="115" ref="F769:F774">F742+F751+F760</f>
        <v>5683.5</v>
      </c>
      <c r="G769" s="114">
        <f t="shared" si="114"/>
        <v>96.8</v>
      </c>
      <c r="H769" s="114">
        <f aca="true" t="shared" si="116" ref="H769:H774">H742+H751+H760</f>
        <v>0</v>
      </c>
      <c r="I769" s="114">
        <f aca="true" t="shared" si="117" ref="I769:I774">I742+I751+I760</f>
        <v>96.8</v>
      </c>
      <c r="J769" s="116">
        <f>J742+J751+J760</f>
        <v>0</v>
      </c>
      <c r="K769" s="626">
        <f>K742+K751+K760</f>
        <v>0</v>
      </c>
      <c r="L769" s="148"/>
      <c r="M769" s="148" t="s">
        <v>400</v>
      </c>
      <c r="N769" s="149"/>
      <c r="R769" s="290"/>
      <c r="S769" s="290"/>
      <c r="T769" s="290"/>
      <c r="U769" s="290"/>
      <c r="V769" s="290"/>
    </row>
    <row r="770" spans="1:22" ht="30.75" customHeight="1">
      <c r="A770" s="560"/>
      <c r="B770" s="624"/>
      <c r="C770" s="627"/>
      <c r="D770" s="228">
        <v>2018</v>
      </c>
      <c r="E770" s="114">
        <f t="shared" si="111"/>
        <v>6230.9</v>
      </c>
      <c r="F770" s="114">
        <f t="shared" si="115"/>
        <v>6103.599999999999</v>
      </c>
      <c r="G770" s="114">
        <f t="shared" si="114"/>
        <v>127.3</v>
      </c>
      <c r="H770" s="114">
        <f t="shared" si="116"/>
        <v>0</v>
      </c>
      <c r="I770" s="114">
        <f t="shared" si="117"/>
        <v>127.3</v>
      </c>
      <c r="J770" s="116">
        <v>0</v>
      </c>
      <c r="K770" s="626">
        <v>0</v>
      </c>
      <c r="L770" s="148"/>
      <c r="M770" s="148"/>
      <c r="N770" s="149"/>
      <c r="R770" s="290"/>
      <c r="S770" s="290"/>
      <c r="T770" s="290"/>
      <c r="U770" s="290"/>
      <c r="V770" s="290"/>
    </row>
    <row r="771" spans="1:22" ht="30.75" customHeight="1">
      <c r="A771" s="560"/>
      <c r="B771" s="624"/>
      <c r="C771" s="627"/>
      <c r="D771" s="228">
        <v>2019</v>
      </c>
      <c r="E771" s="114">
        <f aca="true" t="shared" si="118" ref="E771:E774">E744+E753+E762</f>
        <v>6710.3</v>
      </c>
      <c r="F771" s="114">
        <f t="shared" si="115"/>
        <v>6577.599999999999</v>
      </c>
      <c r="G771" s="114">
        <f aca="true" t="shared" si="119" ref="G771:G774">G744+G753+G762</f>
        <v>132.7</v>
      </c>
      <c r="H771" s="114">
        <f t="shared" si="116"/>
        <v>0</v>
      </c>
      <c r="I771" s="114">
        <f t="shared" si="117"/>
        <v>132.7</v>
      </c>
      <c r="J771" s="116">
        <f aca="true" t="shared" si="120" ref="J771:J774">J744+J753+J762</f>
        <v>0</v>
      </c>
      <c r="K771" s="626">
        <f aca="true" t="shared" si="121" ref="K771:K774">K744+K753+K762</f>
        <v>0</v>
      </c>
      <c r="L771" s="148"/>
      <c r="M771" s="148"/>
      <c r="N771" s="149"/>
      <c r="R771" s="290"/>
      <c r="S771" s="290"/>
      <c r="T771" s="290"/>
      <c r="U771" s="290"/>
      <c r="V771" s="290"/>
    </row>
    <row r="772" spans="1:22" ht="30.75" customHeight="1">
      <c r="A772" s="560"/>
      <c r="B772" s="624"/>
      <c r="C772" s="628"/>
      <c r="D772" s="228">
        <v>2020</v>
      </c>
      <c r="E772" s="114">
        <f t="shared" si="118"/>
        <v>5397.2</v>
      </c>
      <c r="F772" s="114">
        <f t="shared" si="115"/>
        <v>5397.2</v>
      </c>
      <c r="G772" s="114">
        <f t="shared" si="119"/>
        <v>0</v>
      </c>
      <c r="H772" s="114">
        <f t="shared" si="116"/>
        <v>0</v>
      </c>
      <c r="I772" s="114">
        <f t="shared" si="117"/>
        <v>0</v>
      </c>
      <c r="J772" s="116">
        <f t="shared" si="120"/>
        <v>0</v>
      </c>
      <c r="K772" s="626">
        <f t="shared" si="121"/>
        <v>0</v>
      </c>
      <c r="L772" s="148"/>
      <c r="M772" s="148"/>
      <c r="N772" s="149"/>
      <c r="R772" s="290"/>
      <c r="S772" s="290"/>
      <c r="T772" s="290"/>
      <c r="U772" s="290"/>
      <c r="V772" s="290"/>
    </row>
    <row r="773" spans="1:22" ht="30.75" customHeight="1">
      <c r="A773" s="560"/>
      <c r="B773" s="624"/>
      <c r="C773" s="628"/>
      <c r="D773" s="629">
        <v>2021</v>
      </c>
      <c r="E773" s="180">
        <f t="shared" si="118"/>
        <v>6616.4</v>
      </c>
      <c r="F773" s="180">
        <f t="shared" si="115"/>
        <v>6616.4</v>
      </c>
      <c r="G773" s="180">
        <f t="shared" si="119"/>
        <v>0</v>
      </c>
      <c r="H773" s="180">
        <f t="shared" si="116"/>
        <v>0</v>
      </c>
      <c r="I773" s="180">
        <f t="shared" si="117"/>
        <v>0</v>
      </c>
      <c r="J773" s="182">
        <f t="shared" si="120"/>
        <v>0</v>
      </c>
      <c r="K773" s="630">
        <f t="shared" si="121"/>
        <v>0</v>
      </c>
      <c r="L773" s="148"/>
      <c r="M773" s="148"/>
      <c r="N773" s="149"/>
      <c r="R773" s="290"/>
      <c r="S773" s="290"/>
      <c r="T773" s="290"/>
      <c r="U773" s="290"/>
      <c r="V773" s="290"/>
    </row>
    <row r="774" spans="1:22" ht="30.75" customHeight="1">
      <c r="A774" s="560"/>
      <c r="B774" s="624"/>
      <c r="C774" s="628"/>
      <c r="D774" s="629">
        <v>2022</v>
      </c>
      <c r="E774" s="180">
        <f t="shared" si="118"/>
        <v>6463.700000000001</v>
      </c>
      <c r="F774" s="180">
        <f t="shared" si="115"/>
        <v>6463.700000000001</v>
      </c>
      <c r="G774" s="180">
        <f t="shared" si="119"/>
        <v>0</v>
      </c>
      <c r="H774" s="180">
        <f t="shared" si="116"/>
        <v>0</v>
      </c>
      <c r="I774" s="180">
        <f t="shared" si="117"/>
        <v>0</v>
      </c>
      <c r="J774" s="182">
        <f t="shared" si="120"/>
        <v>0</v>
      </c>
      <c r="K774" s="630">
        <f t="shared" si="121"/>
        <v>0</v>
      </c>
      <c r="L774" s="148"/>
      <c r="M774" s="148"/>
      <c r="N774" s="149"/>
      <c r="R774" s="290"/>
      <c r="S774" s="290"/>
      <c r="T774" s="290"/>
      <c r="U774" s="290"/>
      <c r="V774" s="290"/>
    </row>
    <row r="775" spans="1:14" ht="30.75" customHeight="1">
      <c r="A775" s="560"/>
      <c r="B775" s="624"/>
      <c r="C775" s="628"/>
      <c r="D775" s="231">
        <v>2023</v>
      </c>
      <c r="E775" s="172">
        <f aca="true" t="shared" si="122" ref="E775:E777">E766+E757+E748</f>
        <v>6265.8</v>
      </c>
      <c r="F775" s="172">
        <f aca="true" t="shared" si="123" ref="F775:F777">F766+F757+F748</f>
        <v>6265.8</v>
      </c>
      <c r="G775" s="172">
        <f aca="true" t="shared" si="124" ref="G775:G777">G766+G757+G748</f>
        <v>0</v>
      </c>
      <c r="H775" s="172">
        <f aca="true" t="shared" si="125" ref="H775:H777">H766+H757+H748</f>
        <v>0</v>
      </c>
      <c r="I775" s="172">
        <f aca="true" t="shared" si="126" ref="I775:I777">I766+I757+I748</f>
        <v>0</v>
      </c>
      <c r="J775" s="173">
        <f aca="true" t="shared" si="127" ref="J775:J777">J766+J757+J748</f>
        <v>0</v>
      </c>
      <c r="K775" s="170">
        <f aca="true" t="shared" si="128" ref="K775:K777">K766+K757+K748</f>
        <v>0</v>
      </c>
      <c r="L775" s="148"/>
      <c r="M775" s="148"/>
      <c r="N775" s="149"/>
    </row>
    <row r="776" spans="1:14" ht="30.75" customHeight="1">
      <c r="A776" s="560"/>
      <c r="B776" s="624"/>
      <c r="C776" s="631"/>
      <c r="D776" s="632">
        <v>2024</v>
      </c>
      <c r="E776" s="199">
        <f t="shared" si="122"/>
        <v>6485.000000000001</v>
      </c>
      <c r="F776" s="199">
        <f t="shared" si="123"/>
        <v>6485.000000000001</v>
      </c>
      <c r="G776" s="199">
        <f t="shared" si="124"/>
        <v>0</v>
      </c>
      <c r="H776" s="199">
        <f t="shared" si="125"/>
        <v>0</v>
      </c>
      <c r="I776" s="199">
        <f t="shared" si="126"/>
        <v>0</v>
      </c>
      <c r="J776" s="633">
        <f t="shared" si="127"/>
        <v>0</v>
      </c>
      <c r="K776" s="222">
        <f t="shared" si="128"/>
        <v>0</v>
      </c>
      <c r="L776" s="148"/>
      <c r="M776" s="148"/>
      <c r="N776" s="149"/>
    </row>
    <row r="777" spans="1:14" ht="30.75" customHeight="1">
      <c r="A777" s="560"/>
      <c r="B777" s="624"/>
      <c r="C777" s="634"/>
      <c r="D777" s="228">
        <v>2025</v>
      </c>
      <c r="E777" s="549">
        <f t="shared" si="122"/>
        <v>6485.000000000001</v>
      </c>
      <c r="F777" s="549">
        <f t="shared" si="123"/>
        <v>6485.000000000001</v>
      </c>
      <c r="G777" s="549">
        <f t="shared" si="124"/>
        <v>0</v>
      </c>
      <c r="H777" s="549">
        <f t="shared" si="125"/>
        <v>0</v>
      </c>
      <c r="I777" s="549">
        <f t="shared" si="126"/>
        <v>0</v>
      </c>
      <c r="J777" s="570">
        <f t="shared" si="127"/>
        <v>0</v>
      </c>
      <c r="K777" s="635">
        <f t="shared" si="128"/>
        <v>0</v>
      </c>
      <c r="L777" s="148"/>
      <c r="M777" s="148"/>
      <c r="N777" s="149"/>
    </row>
    <row r="778" spans="1:14" ht="30.75" customHeight="1">
      <c r="A778" s="636" t="s">
        <v>401</v>
      </c>
      <c r="B778" s="636"/>
      <c r="C778" s="636"/>
      <c r="D778" s="636"/>
      <c r="E778" s="636"/>
      <c r="F778" s="636"/>
      <c r="G778" s="580"/>
      <c r="H778" s="580"/>
      <c r="I778" s="580"/>
      <c r="J778" s="637"/>
      <c r="K778" s="580"/>
      <c r="L778" s="580"/>
      <c r="M778" s="638"/>
      <c r="N778" s="639"/>
    </row>
    <row r="779" spans="1:14" ht="30.75" customHeight="1">
      <c r="A779" s="640" t="s">
        <v>402</v>
      </c>
      <c r="B779" s="640"/>
      <c r="C779" s="640"/>
      <c r="D779" s="640"/>
      <c r="E779" s="640"/>
      <c r="F779" s="640"/>
      <c r="G779" s="641"/>
      <c r="H779" s="641"/>
      <c r="I779" s="641"/>
      <c r="J779" s="642"/>
      <c r="K779" s="641"/>
      <c r="L779" s="641"/>
      <c r="M779" s="643"/>
      <c r="N779" s="644"/>
    </row>
    <row r="780" spans="1:14" ht="30.75" customHeight="1">
      <c r="A780" s="645" t="s">
        <v>403</v>
      </c>
      <c r="B780" s="587"/>
      <c r="C780" s="646"/>
      <c r="D780" s="641"/>
      <c r="E780" s="641"/>
      <c r="F780" s="641"/>
      <c r="G780" s="641"/>
      <c r="H780" s="641"/>
      <c r="I780" s="641"/>
      <c r="J780" s="642"/>
      <c r="K780" s="641"/>
      <c r="L780" s="641"/>
      <c r="M780" s="643"/>
      <c r="N780" s="644"/>
    </row>
    <row r="781" spans="1:17" ht="30.75" customHeight="1">
      <c r="A781" s="647" t="s">
        <v>404</v>
      </c>
      <c r="B781" s="72" t="s">
        <v>405</v>
      </c>
      <c r="C781" s="18"/>
      <c r="D781" s="648">
        <v>2021</v>
      </c>
      <c r="E781" s="205">
        <f aca="true" t="shared" si="129" ref="E781:E786">F781+G781+J781+K781</f>
        <v>567.3552</v>
      </c>
      <c r="F781" s="205"/>
      <c r="G781" s="205">
        <f aca="true" t="shared" si="130" ref="G781:G786">H781+I781</f>
        <v>0</v>
      </c>
      <c r="H781" s="205"/>
      <c r="I781" s="205">
        <v>0</v>
      </c>
      <c r="J781" s="173">
        <v>567.3552</v>
      </c>
      <c r="K781" s="649">
        <v>0</v>
      </c>
      <c r="L781" s="650" t="s">
        <v>406</v>
      </c>
      <c r="M781" s="651"/>
      <c r="N781" s="652"/>
      <c r="O781" s="653"/>
      <c r="P781" s="653"/>
      <c r="Q781" s="653"/>
    </row>
    <row r="782" spans="1:17" ht="22.5" customHeight="1">
      <c r="A782" s="647"/>
      <c r="B782" s="72"/>
      <c r="C782" s="18"/>
      <c r="D782" s="648">
        <v>2022</v>
      </c>
      <c r="E782" s="205">
        <f t="shared" si="129"/>
        <v>2632.33833</v>
      </c>
      <c r="F782" s="205"/>
      <c r="G782" s="205">
        <f t="shared" si="130"/>
        <v>0</v>
      </c>
      <c r="H782" s="205"/>
      <c r="I782" s="205">
        <v>0</v>
      </c>
      <c r="J782" s="173">
        <v>2632.33833</v>
      </c>
      <c r="K782" s="649">
        <v>0</v>
      </c>
      <c r="L782" s="650"/>
      <c r="M782" s="651"/>
      <c r="N782" s="652"/>
      <c r="O782" s="653"/>
      <c r="P782" s="653"/>
      <c r="Q782" s="653"/>
    </row>
    <row r="783" spans="1:14" ht="44.25" customHeight="1">
      <c r="A783" s="647"/>
      <c r="B783" s="72"/>
      <c r="C783" s="18"/>
      <c r="D783" s="648">
        <v>2023</v>
      </c>
      <c r="E783" s="205">
        <f t="shared" si="129"/>
        <v>2416.38153</v>
      </c>
      <c r="F783" s="205"/>
      <c r="G783" s="205">
        <f t="shared" si="130"/>
        <v>0</v>
      </c>
      <c r="H783" s="205"/>
      <c r="I783" s="205">
        <v>0</v>
      </c>
      <c r="J783" s="173">
        <v>2416.38153</v>
      </c>
      <c r="K783" s="649">
        <v>0</v>
      </c>
      <c r="L783" s="650"/>
      <c r="M783" s="651"/>
      <c r="N783" s="65"/>
    </row>
    <row r="784" spans="1:14" ht="112.5" customHeight="1">
      <c r="A784" s="647" t="s">
        <v>407</v>
      </c>
      <c r="B784" s="654" t="s">
        <v>408</v>
      </c>
      <c r="C784" s="18"/>
      <c r="D784" s="648">
        <v>2023</v>
      </c>
      <c r="E784" s="205">
        <f t="shared" si="129"/>
        <v>2239.64</v>
      </c>
      <c r="F784" s="205"/>
      <c r="G784" s="205">
        <f t="shared" si="130"/>
        <v>0</v>
      </c>
      <c r="H784" s="205"/>
      <c r="I784" s="205">
        <v>0</v>
      </c>
      <c r="J784" s="173">
        <f>806.271+940.648+492.721</f>
        <v>2239.64</v>
      </c>
      <c r="K784" s="649">
        <v>0</v>
      </c>
      <c r="L784" s="650"/>
      <c r="M784" s="651"/>
      <c r="N784" s="65"/>
    </row>
    <row r="785" spans="1:14" ht="24" customHeight="1">
      <c r="A785" s="647"/>
      <c r="B785" s="18"/>
      <c r="C785" s="18"/>
      <c r="D785" s="648">
        <v>2024</v>
      </c>
      <c r="E785" s="205">
        <f t="shared" si="129"/>
        <v>2862.3959999999997</v>
      </c>
      <c r="F785" s="205"/>
      <c r="G785" s="205">
        <f t="shared" si="130"/>
        <v>0</v>
      </c>
      <c r="H785" s="205"/>
      <c r="I785" s="205">
        <v>0</v>
      </c>
      <c r="J785" s="173">
        <f aca="true" t="shared" si="131" ref="J785:J786">2198.461+663.935</f>
        <v>2862.3959999999997</v>
      </c>
      <c r="K785" s="649">
        <v>0</v>
      </c>
      <c r="L785" s="650"/>
      <c r="M785" s="49"/>
      <c r="N785" s="65"/>
    </row>
    <row r="786" spans="1:14" ht="20.25" customHeight="1">
      <c r="A786" s="647"/>
      <c r="B786" s="18"/>
      <c r="C786" s="18"/>
      <c r="D786" s="648">
        <v>2025</v>
      </c>
      <c r="E786" s="205">
        <f t="shared" si="129"/>
        <v>2862.3959999999997</v>
      </c>
      <c r="F786" s="205"/>
      <c r="G786" s="205">
        <f t="shared" si="130"/>
        <v>0</v>
      </c>
      <c r="H786" s="205"/>
      <c r="I786" s="205">
        <v>0</v>
      </c>
      <c r="J786" s="173">
        <f t="shared" si="131"/>
        <v>2862.3959999999997</v>
      </c>
      <c r="K786" s="649">
        <v>0</v>
      </c>
      <c r="L786" s="650"/>
      <c r="M786" s="49"/>
      <c r="N786" s="65"/>
    </row>
    <row r="787" spans="1:14" ht="21.75" customHeight="1">
      <c r="A787" s="647"/>
      <c r="B787" s="624" t="s">
        <v>409</v>
      </c>
      <c r="C787" s="624"/>
      <c r="D787" s="231">
        <v>2021</v>
      </c>
      <c r="E787" s="172">
        <f aca="true" t="shared" si="132" ref="E787:E788">E781</f>
        <v>567.3552</v>
      </c>
      <c r="F787" s="172">
        <f aca="true" t="shared" si="133" ref="F787:F788">F781</f>
        <v>0</v>
      </c>
      <c r="G787" s="172">
        <f aca="true" t="shared" si="134" ref="G787:G788">G781</f>
        <v>0</v>
      </c>
      <c r="H787" s="172">
        <f aca="true" t="shared" si="135" ref="H787:H788">H781</f>
        <v>0</v>
      </c>
      <c r="I787" s="172">
        <f aca="true" t="shared" si="136" ref="I787:I788">I781</f>
        <v>0</v>
      </c>
      <c r="J787" s="173">
        <f aca="true" t="shared" si="137" ref="J787:J788">J781</f>
        <v>567.3552</v>
      </c>
      <c r="K787" s="172">
        <f aca="true" t="shared" si="138" ref="K787:K789">K781</f>
        <v>0</v>
      </c>
      <c r="L787" s="655"/>
      <c r="M787" s="49"/>
      <c r="N787" s="65"/>
    </row>
    <row r="788" spans="1:14" ht="22.5" customHeight="1">
      <c r="A788" s="647"/>
      <c r="B788" s="624"/>
      <c r="C788" s="624"/>
      <c r="D788" s="231">
        <v>2022</v>
      </c>
      <c r="E788" s="172">
        <f t="shared" si="132"/>
        <v>2632.33833</v>
      </c>
      <c r="F788" s="172">
        <f t="shared" si="133"/>
        <v>0</v>
      </c>
      <c r="G788" s="172">
        <f t="shared" si="134"/>
        <v>0</v>
      </c>
      <c r="H788" s="172">
        <f t="shared" si="135"/>
        <v>0</v>
      </c>
      <c r="I788" s="172">
        <f t="shared" si="136"/>
        <v>0</v>
      </c>
      <c r="J788" s="173">
        <f t="shared" si="137"/>
        <v>2632.33833</v>
      </c>
      <c r="K788" s="172">
        <f t="shared" si="138"/>
        <v>0</v>
      </c>
      <c r="L788" s="655"/>
      <c r="M788" s="49"/>
      <c r="N788" s="65"/>
    </row>
    <row r="789" spans="1:14" ht="22.5" customHeight="1">
      <c r="A789" s="647"/>
      <c r="B789" s="624"/>
      <c r="C789" s="624"/>
      <c r="D789" s="632">
        <v>2023</v>
      </c>
      <c r="E789" s="199">
        <f>E783+E784</f>
        <v>4656.02153</v>
      </c>
      <c r="F789" s="199">
        <f>F783+F784</f>
        <v>0</v>
      </c>
      <c r="G789" s="199">
        <f>G783+G784</f>
        <v>0</v>
      </c>
      <c r="H789" s="199">
        <f>H783+H784</f>
        <v>0</v>
      </c>
      <c r="I789" s="199">
        <f>I783+I784</f>
        <v>0</v>
      </c>
      <c r="J789" s="199">
        <f>J783+J784</f>
        <v>4656.02153</v>
      </c>
      <c r="K789" s="199">
        <f t="shared" si="138"/>
        <v>0</v>
      </c>
      <c r="L789" s="655"/>
      <c r="M789" s="49"/>
      <c r="N789" s="65"/>
    </row>
    <row r="790" spans="1:14" ht="22.5" customHeight="1">
      <c r="A790" s="647"/>
      <c r="B790" s="624"/>
      <c r="C790" s="624"/>
      <c r="D790" s="632">
        <v>2024</v>
      </c>
      <c r="E790" s="199">
        <f aca="true" t="shared" si="139" ref="E790:E791">E785</f>
        <v>2862.3959999999997</v>
      </c>
      <c r="F790" s="199">
        <f aca="true" t="shared" si="140" ref="F790:F791">F787</f>
        <v>0</v>
      </c>
      <c r="G790" s="199">
        <f aca="true" t="shared" si="141" ref="G790:G791">G787</f>
        <v>0</v>
      </c>
      <c r="H790" s="199">
        <f aca="true" t="shared" si="142" ref="H790:H791">H787</f>
        <v>0</v>
      </c>
      <c r="I790" s="199">
        <f aca="true" t="shared" si="143" ref="I790:I791">I787</f>
        <v>0</v>
      </c>
      <c r="J790" s="633">
        <f aca="true" t="shared" si="144" ref="J790:J791">J785</f>
        <v>2862.3959999999997</v>
      </c>
      <c r="K790" s="199">
        <f aca="true" t="shared" si="145" ref="K790:K791">K787</f>
        <v>0</v>
      </c>
      <c r="L790" s="656"/>
      <c r="M790" s="49"/>
      <c r="N790" s="65"/>
    </row>
    <row r="791" spans="1:14" ht="24" customHeight="1">
      <c r="A791" s="647"/>
      <c r="B791" s="624"/>
      <c r="C791" s="624"/>
      <c r="D791" s="632">
        <v>2025</v>
      </c>
      <c r="E791" s="199">
        <f t="shared" si="139"/>
        <v>2862.3959999999997</v>
      </c>
      <c r="F791" s="199">
        <f t="shared" si="140"/>
        <v>0</v>
      </c>
      <c r="G791" s="199">
        <f t="shared" si="141"/>
        <v>0</v>
      </c>
      <c r="H791" s="199">
        <f t="shared" si="142"/>
        <v>0</v>
      </c>
      <c r="I791" s="199">
        <f t="shared" si="143"/>
        <v>0</v>
      </c>
      <c r="J791" s="633">
        <f t="shared" si="144"/>
        <v>2862.3959999999997</v>
      </c>
      <c r="K791" s="199">
        <f t="shared" si="145"/>
        <v>0</v>
      </c>
      <c r="L791" s="657"/>
      <c r="M791" s="272"/>
      <c r="N791" s="65"/>
    </row>
    <row r="792" spans="1:14" ht="42.75" customHeight="1">
      <c r="A792" s="578"/>
      <c r="B792" s="658" t="s">
        <v>410</v>
      </c>
      <c r="C792" s="658"/>
      <c r="D792" s="429" t="s">
        <v>411</v>
      </c>
      <c r="E792" s="659">
        <f>SUM(E793:E813)</f>
        <v>2573533.67426</v>
      </c>
      <c r="F792" s="659">
        <f>SUM(F793:F813)</f>
        <v>1448506.37992</v>
      </c>
      <c r="G792" s="659">
        <f>G793+G794+G795+G796+G797+G798+G811+G812+G813</f>
        <v>65249.999110000004</v>
      </c>
      <c r="H792" s="659">
        <f>SUM(H793:H813)</f>
        <v>40133.4</v>
      </c>
      <c r="I792" s="659">
        <f>SUM(I793:I813)</f>
        <v>25116.59911</v>
      </c>
      <c r="J792" s="659">
        <f>J793+J794+J795+J796+J797+J798+J811+J812+J813</f>
        <v>1059777.29523</v>
      </c>
      <c r="K792" s="659">
        <f>SUM(K793:K813)</f>
        <v>0</v>
      </c>
      <c r="L792" s="660"/>
      <c r="M792" s="148"/>
      <c r="N792" s="149"/>
    </row>
    <row r="793" spans="1:14" ht="28.5" customHeight="1">
      <c r="A793" s="578"/>
      <c r="B793" s="658"/>
      <c r="C793" s="658"/>
      <c r="D793" s="429">
        <v>2017</v>
      </c>
      <c r="E793" s="659">
        <f aca="true" t="shared" si="146" ref="E793:E794">F793+G793+J793+K793</f>
        <v>259771.653</v>
      </c>
      <c r="F793" s="659">
        <f aca="true" t="shared" si="147" ref="F793:F796">F270+F574+F718+F730+F769</f>
        <v>130298.7</v>
      </c>
      <c r="G793" s="659">
        <f aca="true" t="shared" si="148" ref="G793:G794">G270+G574+G718+G730+G769</f>
        <v>1029</v>
      </c>
      <c r="H793" s="659">
        <f aca="true" t="shared" si="149" ref="H793:H796">H270+H574+H718+H730+H769</f>
        <v>0</v>
      </c>
      <c r="I793" s="659">
        <f>I270+I574+I718+I730+I769</f>
        <v>1029</v>
      </c>
      <c r="J793" s="21">
        <f>J270+J574+J718+J730+J769</f>
        <v>128443.953</v>
      </c>
      <c r="K793" s="659">
        <f aca="true" t="shared" si="150" ref="K793:K796">K270+K574+K718+K730+K769</f>
        <v>0</v>
      </c>
      <c r="L793" s="660"/>
      <c r="M793" s="148"/>
      <c r="N793" s="149"/>
    </row>
    <row r="794" spans="1:14" ht="26.25" customHeight="1">
      <c r="A794" s="578"/>
      <c r="B794" s="658"/>
      <c r="C794" s="658"/>
      <c r="D794" s="429">
        <v>2018</v>
      </c>
      <c r="E794" s="659">
        <f t="shared" si="146"/>
        <v>256780.11129000003</v>
      </c>
      <c r="F794" s="659">
        <f t="shared" si="147"/>
        <v>143448.1</v>
      </c>
      <c r="G794" s="659">
        <f t="shared" si="148"/>
        <v>1296.482</v>
      </c>
      <c r="H794" s="659">
        <f t="shared" si="149"/>
        <v>0</v>
      </c>
      <c r="I794" s="659">
        <f>I770+I731+I719+I575+I271</f>
        <v>1296.4820000000002</v>
      </c>
      <c r="J794" s="21">
        <f>J770+J731+J719+J575+J271</f>
        <v>112035.52929000002</v>
      </c>
      <c r="K794" s="659">
        <f t="shared" si="150"/>
        <v>0</v>
      </c>
      <c r="L794" s="660"/>
      <c r="M794" s="148"/>
      <c r="N794" s="149"/>
    </row>
    <row r="795" spans="1:14" ht="22.5" customHeight="1">
      <c r="A795" s="578"/>
      <c r="B795" s="658"/>
      <c r="C795" s="658"/>
      <c r="D795" s="429">
        <v>2019</v>
      </c>
      <c r="E795" s="21">
        <f>F795+G795+J795</f>
        <v>274699.70717</v>
      </c>
      <c r="F795" s="21">
        <f t="shared" si="147"/>
        <v>157111.4</v>
      </c>
      <c r="G795" s="21">
        <f>I795</f>
        <v>3375.852</v>
      </c>
      <c r="H795" s="21">
        <f t="shared" si="149"/>
        <v>0</v>
      </c>
      <c r="I795" s="21">
        <v>3375.852</v>
      </c>
      <c r="J795" s="21">
        <f aca="true" t="shared" si="151" ref="J795:J796">J272+J576+J720+J732+J771</f>
        <v>114212.45517</v>
      </c>
      <c r="K795" s="659">
        <f t="shared" si="150"/>
        <v>0</v>
      </c>
      <c r="L795" s="660"/>
      <c r="M795" s="148"/>
      <c r="N795" s="149"/>
    </row>
    <row r="796" spans="1:14" ht="24" customHeight="1">
      <c r="A796" s="578"/>
      <c r="B796" s="658"/>
      <c r="C796" s="658"/>
      <c r="D796" s="429">
        <v>2020</v>
      </c>
      <c r="E796" s="659">
        <f>F796+G796+J796+K796</f>
        <v>274920.2059</v>
      </c>
      <c r="F796" s="659">
        <f t="shared" si="147"/>
        <v>156504.2</v>
      </c>
      <c r="G796" s="659">
        <f>G273+G577+G721+G733+G772</f>
        <v>7019.299999999999</v>
      </c>
      <c r="H796" s="659">
        <f t="shared" si="149"/>
        <v>3073.8</v>
      </c>
      <c r="I796" s="659">
        <f>I273+I577+I721+I733+I772</f>
        <v>3945.5</v>
      </c>
      <c r="J796" s="21">
        <f t="shared" si="151"/>
        <v>111396.70589999999</v>
      </c>
      <c r="K796" s="659">
        <f t="shared" si="150"/>
        <v>0</v>
      </c>
      <c r="L796" s="660"/>
      <c r="M796" s="148"/>
      <c r="N796" s="149"/>
    </row>
    <row r="797" spans="1:14" ht="24" customHeight="1">
      <c r="A797" s="578"/>
      <c r="B797" s="658"/>
      <c r="C797" s="658"/>
      <c r="D797" s="429">
        <v>2021</v>
      </c>
      <c r="E797" s="21">
        <f aca="true" t="shared" si="152" ref="E797:E798">F797+G797+J797</f>
        <v>287576.66265</v>
      </c>
      <c r="F797" s="659">
        <f aca="true" t="shared" si="153" ref="F797:F798">F274+F578+F722+F734+F773+F787</f>
        <v>163731.4</v>
      </c>
      <c r="G797" s="659">
        <f>H797+I797</f>
        <v>14635.72</v>
      </c>
      <c r="H797" s="659">
        <f aca="true" t="shared" si="154" ref="H797:H798">H274+H578+H722+H734+H773+H787</f>
        <v>12507.9</v>
      </c>
      <c r="I797" s="659">
        <v>2127.82</v>
      </c>
      <c r="J797" s="21">
        <v>109209.54265</v>
      </c>
      <c r="K797" s="659">
        <f>K274+K578+K722+K734+K773+K787</f>
        <v>0</v>
      </c>
      <c r="L797" s="660"/>
      <c r="M797" s="148"/>
      <c r="N797" s="149"/>
    </row>
    <row r="798" spans="1:14" ht="27" customHeight="1">
      <c r="A798" s="578"/>
      <c r="B798" s="658"/>
      <c r="C798" s="658"/>
      <c r="D798" s="429">
        <v>2022</v>
      </c>
      <c r="E798" s="21">
        <f t="shared" si="152"/>
        <v>297762.65631</v>
      </c>
      <c r="F798" s="659">
        <f t="shared" si="153"/>
        <v>175941.30000000002</v>
      </c>
      <c r="G798" s="659">
        <f aca="true" t="shared" si="155" ref="G798:G807">G275+G579+G723+G735+G774+G788</f>
        <v>10188.419</v>
      </c>
      <c r="H798" s="659">
        <f t="shared" si="154"/>
        <v>6340.799999999999</v>
      </c>
      <c r="I798" s="659">
        <v>3847.619</v>
      </c>
      <c r="J798" s="21">
        <f>J275+J579+J723+J735+J774+J788</f>
        <v>111632.93730999998</v>
      </c>
      <c r="K798" s="659">
        <f>K275+K579+K723+K735+K774</f>
        <v>0</v>
      </c>
      <c r="L798" s="660"/>
      <c r="M798" s="148"/>
      <c r="N798" s="661"/>
    </row>
    <row r="799" spans="1:14" ht="25.5" customHeight="1" hidden="1">
      <c r="A799" s="578"/>
      <c r="B799" s="658"/>
      <c r="C799" s="658"/>
      <c r="D799" s="662"/>
      <c r="E799" s="663"/>
      <c r="F799" s="664"/>
      <c r="G799" s="659">
        <f t="shared" si="155"/>
        <v>10605.82611</v>
      </c>
      <c r="H799" s="665"/>
      <c r="I799" s="666"/>
      <c r="J799" s="21">
        <f>J278+J581+J724+J737+J775</f>
        <v>111557.59016</v>
      </c>
      <c r="K799" s="667"/>
      <c r="L799" s="660"/>
      <c r="M799" s="148"/>
      <c r="N799" s="149"/>
    </row>
    <row r="800" spans="1:14" ht="25.5" customHeight="1" hidden="1">
      <c r="A800" s="578"/>
      <c r="B800" s="658"/>
      <c r="C800" s="658"/>
      <c r="D800" s="662"/>
      <c r="E800" s="663"/>
      <c r="F800" s="668"/>
      <c r="G800" s="659">
        <f t="shared" si="155"/>
        <v>9373.7</v>
      </c>
      <c r="H800" s="666"/>
      <c r="I800" s="664"/>
      <c r="J800" s="21" t="e">
        <f>J279+J583+J727+J739+#REF!</f>
        <v>#REF!</v>
      </c>
      <c r="K800" s="669"/>
      <c r="L800" s="660"/>
      <c r="M800" s="148"/>
      <c r="N800" s="149"/>
    </row>
    <row r="801" spans="1:14" ht="15.75" customHeight="1" hidden="1">
      <c r="A801" s="578"/>
      <c r="B801" s="658"/>
      <c r="C801" s="658"/>
      <c r="D801" s="662"/>
      <c r="E801" s="663"/>
      <c r="F801" s="668"/>
      <c r="G801" s="659">
        <f t="shared" si="155"/>
        <v>7725.7</v>
      </c>
      <c r="H801" s="666"/>
      <c r="I801" s="666"/>
      <c r="J801" s="21">
        <f aca="true" t="shared" si="156" ref="J801:J808">J280+J584+J728+J740+J792</f>
        <v>1059777.29523</v>
      </c>
      <c r="K801" s="669"/>
      <c r="L801" s="660"/>
      <c r="M801" s="148"/>
      <c r="N801" s="149"/>
    </row>
    <row r="802" spans="1:14" ht="24.75" customHeight="1" hidden="1">
      <c r="A802" s="578"/>
      <c r="B802" s="658"/>
      <c r="C802" s="658"/>
      <c r="D802" s="662"/>
      <c r="E802" s="663"/>
      <c r="F802" s="668"/>
      <c r="G802" s="659">
        <f t="shared" si="155"/>
        <v>65249.999110000004</v>
      </c>
      <c r="H802" s="666"/>
      <c r="I802" s="670"/>
      <c r="J802" s="21">
        <f t="shared" si="156"/>
        <v>128443.953</v>
      </c>
      <c r="K802" s="669"/>
      <c r="L802" s="660"/>
      <c r="M802" s="148"/>
      <c r="N802" s="149"/>
    </row>
    <row r="803" spans="1:14" ht="13.5" customHeight="1" hidden="1">
      <c r="A803" s="578"/>
      <c r="B803" s="658"/>
      <c r="C803" s="658"/>
      <c r="D803" s="662"/>
      <c r="E803" s="663"/>
      <c r="F803" s="668"/>
      <c r="G803" s="659">
        <f t="shared" si="155"/>
        <v>1029</v>
      </c>
      <c r="H803" s="666"/>
      <c r="I803" s="666"/>
      <c r="J803" s="21">
        <f t="shared" si="156"/>
        <v>194534.05629000004</v>
      </c>
      <c r="K803" s="669"/>
      <c r="L803" s="660"/>
      <c r="M803" s="148"/>
      <c r="N803" s="149"/>
    </row>
    <row r="804" spans="1:14" ht="27.75" customHeight="1" hidden="1">
      <c r="A804" s="578"/>
      <c r="B804" s="658"/>
      <c r="C804" s="658"/>
      <c r="D804" s="662"/>
      <c r="E804" s="663"/>
      <c r="F804" s="668"/>
      <c r="G804" s="659">
        <f t="shared" si="155"/>
        <v>1296.482</v>
      </c>
      <c r="H804" s="666"/>
      <c r="I804" s="666"/>
      <c r="J804" s="21">
        <f t="shared" si="156"/>
        <v>148066.61367</v>
      </c>
      <c r="K804" s="669"/>
      <c r="L804" s="660"/>
      <c r="M804" s="148"/>
      <c r="N804" s="149"/>
    </row>
    <row r="805" spans="1:14" ht="18.75" customHeight="1" hidden="1">
      <c r="A805" s="578"/>
      <c r="B805" s="658"/>
      <c r="C805" s="658"/>
      <c r="D805" s="662"/>
      <c r="E805" s="663"/>
      <c r="F805" s="668"/>
      <c r="G805" s="659">
        <f t="shared" si="155"/>
        <v>4102.852</v>
      </c>
      <c r="H805" s="666"/>
      <c r="I805" s="666"/>
      <c r="J805" s="21">
        <f t="shared" si="156"/>
        <v>151132.50723</v>
      </c>
      <c r="K805" s="669"/>
      <c r="L805" s="660"/>
      <c r="M805" s="148"/>
      <c r="N805" s="149"/>
    </row>
    <row r="806" spans="1:14" ht="18.75" customHeight="1" hidden="1">
      <c r="A806" s="578"/>
      <c r="B806" s="658"/>
      <c r="C806" s="658"/>
      <c r="D806" s="662"/>
      <c r="E806" s="663"/>
      <c r="F806" s="668"/>
      <c r="G806" s="659">
        <f t="shared" si="155"/>
        <v>7019.299999999999</v>
      </c>
      <c r="H806" s="666"/>
      <c r="I806" s="666"/>
      <c r="J806" s="21">
        <f t="shared" si="156"/>
        <v>160018.48565</v>
      </c>
      <c r="K806" s="669"/>
      <c r="L806" s="660"/>
      <c r="M806" s="148"/>
      <c r="N806" s="149"/>
    </row>
    <row r="807" spans="1:14" ht="27" customHeight="1" hidden="1">
      <c r="A807" s="578"/>
      <c r="B807" s="658"/>
      <c r="C807" s="658"/>
      <c r="D807" s="662"/>
      <c r="E807" s="663"/>
      <c r="F807" s="668"/>
      <c r="G807" s="659">
        <f t="shared" si="155"/>
        <v>14635.72</v>
      </c>
      <c r="H807" s="666"/>
      <c r="I807" s="666"/>
      <c r="J807" s="21">
        <f t="shared" si="156"/>
        <v>122595.06542999997</v>
      </c>
      <c r="K807" s="669"/>
      <c r="L807" s="660"/>
      <c r="M807" s="148"/>
      <c r="N807" s="149"/>
    </row>
    <row r="808" spans="1:14" ht="22.5" customHeight="1" hidden="1">
      <c r="A808" s="578"/>
      <c r="B808" s="658"/>
      <c r="C808" s="658"/>
      <c r="D808" s="662"/>
      <c r="E808" s="663"/>
      <c r="F808" s="671"/>
      <c r="G808" s="659">
        <f aca="true" t="shared" si="157" ref="G808:G810">G285+G589+G733+G745+G785+G798</f>
        <v>10188.419</v>
      </c>
      <c r="H808" s="666"/>
      <c r="I808" s="666"/>
      <c r="J808" s="21">
        <f t="shared" si="156"/>
        <v>131813.91034</v>
      </c>
      <c r="K808" s="669"/>
      <c r="L808" s="660"/>
      <c r="M808" s="148"/>
      <c r="N808" s="149"/>
    </row>
    <row r="809" spans="1:14" ht="18" customHeight="1" hidden="1">
      <c r="A809" s="578"/>
      <c r="B809" s="658"/>
      <c r="C809" s="658"/>
      <c r="D809" s="672"/>
      <c r="E809" s="663"/>
      <c r="F809" s="666"/>
      <c r="G809" s="659">
        <f t="shared" si="157"/>
        <v>10605.82611</v>
      </c>
      <c r="H809" s="666"/>
      <c r="I809" s="666"/>
      <c r="J809" s="21" t="e">
        <f>J288+J592+J737+J748+J800</f>
        <v>#REF!</v>
      </c>
      <c r="K809" s="669"/>
      <c r="L809" s="660"/>
      <c r="M809" s="148"/>
      <c r="N809" s="149"/>
    </row>
    <row r="810" spans="1:14" ht="22.5" customHeight="1" hidden="1">
      <c r="A810" s="578"/>
      <c r="B810" s="658"/>
      <c r="C810" s="658"/>
      <c r="D810" s="673"/>
      <c r="E810" s="663"/>
      <c r="F810" s="666"/>
      <c r="G810" s="659">
        <f t="shared" si="157"/>
        <v>9373.7</v>
      </c>
      <c r="H810" s="666"/>
      <c r="I810" s="666"/>
      <c r="J810" s="21">
        <f>J289+J593+J739+J751+J801</f>
        <v>1071640.58023</v>
      </c>
      <c r="K810" s="669"/>
      <c r="L810" s="660"/>
      <c r="M810" s="148"/>
      <c r="N810" s="149"/>
    </row>
    <row r="811" spans="1:14" ht="27" customHeight="1">
      <c r="A811" s="578"/>
      <c r="B811" s="658"/>
      <c r="C811" s="658"/>
      <c r="D811" s="674">
        <v>2023</v>
      </c>
      <c r="E811" s="21">
        <f>E276+E580+E724+E736+E775+E789</f>
        <v>315451.96794000006</v>
      </c>
      <c r="F811" s="21">
        <f>F276+F580+F724+F736+F775+F789</f>
        <v>187377.27992</v>
      </c>
      <c r="G811" s="21">
        <f>G276+G580+G724+G736+G775+G789</f>
        <v>10605.82611</v>
      </c>
      <c r="H811" s="21">
        <f>H276+H580+H724+H736+H775+H789</f>
        <v>6180.5</v>
      </c>
      <c r="I811" s="21">
        <f>I276+I580+I724+I736+I775+I789</f>
        <v>4425.32611</v>
      </c>
      <c r="J811" s="21">
        <f>J276+J580+J724+J736+J775+J789</f>
        <v>117468.86191</v>
      </c>
      <c r="K811" s="659">
        <f>K276+K580+K724+K736+K774+K789</f>
        <v>0</v>
      </c>
      <c r="L811" s="660"/>
      <c r="M811" s="148"/>
      <c r="N811" s="149"/>
    </row>
    <row r="812" spans="1:14" ht="27" customHeight="1">
      <c r="A812" s="578"/>
      <c r="B812" s="658"/>
      <c r="C812" s="658"/>
      <c r="D812" s="674">
        <v>2024</v>
      </c>
      <c r="E812" s="659">
        <f aca="true" t="shared" si="158" ref="E812:E813">E776+E737+E725+E581+E277+E790</f>
        <v>303623.4430000001</v>
      </c>
      <c r="F812" s="659">
        <f aca="true" t="shared" si="159" ref="F812:F813">F776+F737+F725+F581+F277+F790</f>
        <v>167047</v>
      </c>
      <c r="G812" s="659">
        <f aca="true" t="shared" si="160" ref="G812:G813">G776+G737+G725+G581+G277+G790</f>
        <v>9373.7</v>
      </c>
      <c r="H812" s="659">
        <f aca="true" t="shared" si="161" ref="H812:H813">H776+H737+H725+H581+H277+H790</f>
        <v>6015.2</v>
      </c>
      <c r="I812" s="659">
        <f aca="true" t="shared" si="162" ref="I812:I813">I776+I737+I725+I581+I277+I790</f>
        <v>3358.5</v>
      </c>
      <c r="J812" s="21">
        <f aca="true" t="shared" si="163" ref="J812:J813">J776+J737+J725+J581+J277+J790</f>
        <v>127202.743</v>
      </c>
      <c r="K812" s="659">
        <f>K776+K737+K725+K581+K278+K790</f>
        <v>0</v>
      </c>
      <c r="L812" s="49"/>
      <c r="M812" s="148"/>
      <c r="N812" s="149"/>
    </row>
    <row r="813" spans="1:14" ht="27" customHeight="1">
      <c r="A813" s="578"/>
      <c r="B813" s="658"/>
      <c r="C813" s="658"/>
      <c r="D813" s="675">
        <v>2025</v>
      </c>
      <c r="E813" s="659">
        <f t="shared" si="158"/>
        <v>302947.26700000005</v>
      </c>
      <c r="F813" s="659">
        <f t="shared" si="159"/>
        <v>167047</v>
      </c>
      <c r="G813" s="659">
        <f t="shared" si="160"/>
        <v>7725.7</v>
      </c>
      <c r="H813" s="659">
        <f t="shared" si="161"/>
        <v>6015.2</v>
      </c>
      <c r="I813" s="659">
        <f t="shared" si="162"/>
        <v>1710.5</v>
      </c>
      <c r="J813" s="21">
        <f t="shared" si="163"/>
        <v>128174.567</v>
      </c>
      <c r="K813" s="659">
        <f>K778+K738+K727+K583+K279+K791</f>
        <v>0</v>
      </c>
      <c r="L813" s="49"/>
      <c r="M813" s="148"/>
      <c r="N813" s="149"/>
    </row>
    <row r="814" spans="2:13" ht="21" customHeight="1">
      <c r="B814" s="676"/>
      <c r="C814" s="677"/>
      <c r="E814" s="678"/>
      <c r="F814" s="679"/>
      <c r="G814" s="679"/>
      <c r="I814" s="680"/>
      <c r="M814" s="681"/>
    </row>
    <row r="815" spans="2:7" ht="21" customHeight="1">
      <c r="B815" s="676"/>
      <c r="C815" s="677"/>
      <c r="D815" s="682"/>
      <c r="E815" s="683"/>
      <c r="F815" s="684"/>
      <c r="G815" s="684"/>
    </row>
    <row r="818" ht="21">
      <c r="G818" s="6"/>
    </row>
    <row r="820" ht="22.5">
      <c r="G820" s="685"/>
    </row>
  </sheetData>
  <sheetProtection selectLockedCells="1" selectUnlockedCells="1"/>
  <mergeCells count="280">
    <mergeCell ref="J3:M3"/>
    <mergeCell ref="J4:M4"/>
    <mergeCell ref="B5:L5"/>
    <mergeCell ref="A7:A11"/>
    <mergeCell ref="B7:C11"/>
    <mergeCell ref="D7:D11"/>
    <mergeCell ref="E7:E11"/>
    <mergeCell ref="F7:J7"/>
    <mergeCell ref="K7:K11"/>
    <mergeCell ref="L7:L11"/>
    <mergeCell ref="M7:M11"/>
    <mergeCell ref="F8:F11"/>
    <mergeCell ref="G8:J8"/>
    <mergeCell ref="G9:I9"/>
    <mergeCell ref="J9:J11"/>
    <mergeCell ref="G10:G11"/>
    <mergeCell ref="H10:I10"/>
    <mergeCell ref="B12:C12"/>
    <mergeCell ref="A13:M13"/>
    <mergeCell ref="A14:M14"/>
    <mergeCell ref="A15:M15"/>
    <mergeCell ref="A16:M16"/>
    <mergeCell ref="A17:A24"/>
    <mergeCell ref="B17:B24"/>
    <mergeCell ref="M17:M26"/>
    <mergeCell ref="A25:A26"/>
    <mergeCell ref="B25:B26"/>
    <mergeCell ref="A27:A31"/>
    <mergeCell ref="B27:B31"/>
    <mergeCell ref="M27:M30"/>
    <mergeCell ref="A32:A34"/>
    <mergeCell ref="B32:B34"/>
    <mergeCell ref="M32:M33"/>
    <mergeCell ref="A35:A37"/>
    <mergeCell ref="B35:B37"/>
    <mergeCell ref="M35:M44"/>
    <mergeCell ref="O35:O44"/>
    <mergeCell ref="A47:A50"/>
    <mergeCell ref="B47:B50"/>
    <mergeCell ref="A52:A58"/>
    <mergeCell ref="B52:C58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7"/>
    <mergeCell ref="A59:A67"/>
    <mergeCell ref="B59:C67"/>
    <mergeCell ref="A68:A76"/>
    <mergeCell ref="B68:C76"/>
    <mergeCell ref="M68:M73"/>
    <mergeCell ref="A77:A78"/>
    <mergeCell ref="B77:C78"/>
    <mergeCell ref="A79:A85"/>
    <mergeCell ref="B79:C85"/>
    <mergeCell ref="A86:A91"/>
    <mergeCell ref="B86:C91"/>
    <mergeCell ref="M86:M91"/>
    <mergeCell ref="A92:A101"/>
    <mergeCell ref="B92:C101"/>
    <mergeCell ref="M92:M95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A102:A110"/>
    <mergeCell ref="B102:C110"/>
    <mergeCell ref="M102:M107"/>
    <mergeCell ref="A111:A120"/>
    <mergeCell ref="B111:C120"/>
    <mergeCell ref="D111:D112"/>
    <mergeCell ref="E111:E112"/>
    <mergeCell ref="F111:F112"/>
    <mergeCell ref="G111:G112"/>
    <mergeCell ref="H111:H112"/>
    <mergeCell ref="I111:I112"/>
    <mergeCell ref="J111:J112"/>
    <mergeCell ref="K111:K112"/>
    <mergeCell ref="L111:L112"/>
    <mergeCell ref="M111:M117"/>
    <mergeCell ref="A121:A125"/>
    <mergeCell ref="B121:C125"/>
    <mergeCell ref="M121:M125"/>
    <mergeCell ref="A127:A196"/>
    <mergeCell ref="B127:C196"/>
    <mergeCell ref="D127:D133"/>
    <mergeCell ref="E127:E133"/>
    <mergeCell ref="M127:M241"/>
    <mergeCell ref="D134:D141"/>
    <mergeCell ref="E134:E141"/>
    <mergeCell ref="D142:D149"/>
    <mergeCell ref="E142:E149"/>
    <mergeCell ref="D150:D157"/>
    <mergeCell ref="E150:E157"/>
    <mergeCell ref="D158:D166"/>
    <mergeCell ref="E158:E166"/>
    <mergeCell ref="D167:D174"/>
    <mergeCell ref="E168:E174"/>
    <mergeCell ref="D175:D181"/>
    <mergeCell ref="E176:E181"/>
    <mergeCell ref="A197:A241"/>
    <mergeCell ref="B197:C241"/>
    <mergeCell ref="D197:D203"/>
    <mergeCell ref="E197:E203"/>
    <mergeCell ref="D204:D211"/>
    <mergeCell ref="E204:E211"/>
    <mergeCell ref="D212:D219"/>
    <mergeCell ref="E212:E219"/>
    <mergeCell ref="D220:D227"/>
    <mergeCell ref="E220:E227"/>
    <mergeCell ref="D229:D234"/>
    <mergeCell ref="E229:E234"/>
    <mergeCell ref="D236:D237"/>
    <mergeCell ref="E236:E237"/>
    <mergeCell ref="D239:D241"/>
    <mergeCell ref="E239:E241"/>
    <mergeCell ref="A242:A248"/>
    <mergeCell ref="B242:C248"/>
    <mergeCell ref="M242:M247"/>
    <mergeCell ref="B249:C249"/>
    <mergeCell ref="B250:C250"/>
    <mergeCell ref="A251:A253"/>
    <mergeCell ref="B251:C253"/>
    <mergeCell ref="B254:C254"/>
    <mergeCell ref="B255:C255"/>
    <mergeCell ref="A256:A266"/>
    <mergeCell ref="B256:C266"/>
    <mergeCell ref="M257:M266"/>
    <mergeCell ref="A267:A268"/>
    <mergeCell ref="B267:C268"/>
    <mergeCell ref="B269:C269"/>
    <mergeCell ref="A270:A278"/>
    <mergeCell ref="B270:C278"/>
    <mergeCell ref="M270:M278"/>
    <mergeCell ref="A279:M279"/>
    <mergeCell ref="A280:M280"/>
    <mergeCell ref="A281:M281"/>
    <mergeCell ref="A282:M282"/>
    <mergeCell ref="A283:A466"/>
    <mergeCell ref="B283:B315"/>
    <mergeCell ref="M283:M473"/>
    <mergeCell ref="L286:L291"/>
    <mergeCell ref="B316:B325"/>
    <mergeCell ref="C327:C330"/>
    <mergeCell ref="L327:L328"/>
    <mergeCell ref="L329:L330"/>
    <mergeCell ref="C331:C334"/>
    <mergeCell ref="L331:L334"/>
    <mergeCell ref="C335:C344"/>
    <mergeCell ref="L335:L344"/>
    <mergeCell ref="C345:C346"/>
    <mergeCell ref="L345:L346"/>
    <mergeCell ref="C347:C352"/>
    <mergeCell ref="L347:L351"/>
    <mergeCell ref="C353:C358"/>
    <mergeCell ref="L353:L358"/>
    <mergeCell ref="C359:C366"/>
    <mergeCell ref="L362:L366"/>
    <mergeCell ref="C367:C368"/>
    <mergeCell ref="L367:L368"/>
    <mergeCell ref="C370:C374"/>
    <mergeCell ref="L370:L373"/>
    <mergeCell ref="L376:L378"/>
    <mergeCell ref="N376:N378"/>
    <mergeCell ref="L379:L380"/>
    <mergeCell ref="L381:L385"/>
    <mergeCell ref="L386:L387"/>
    <mergeCell ref="L388:L391"/>
    <mergeCell ref="L398:L405"/>
    <mergeCell ref="C409:C411"/>
    <mergeCell ref="L415:L435"/>
    <mergeCell ref="L436:L450"/>
    <mergeCell ref="L453:L456"/>
    <mergeCell ref="L459:L462"/>
    <mergeCell ref="B464:B467"/>
    <mergeCell ref="A467:A468"/>
    <mergeCell ref="D467:D468"/>
    <mergeCell ref="B468:B469"/>
    <mergeCell ref="A469:A470"/>
    <mergeCell ref="D469:D470"/>
    <mergeCell ref="B470:B471"/>
    <mergeCell ref="A471:A473"/>
    <mergeCell ref="D471:D473"/>
    <mergeCell ref="L471:L472"/>
    <mergeCell ref="B472:B474"/>
    <mergeCell ref="A474:A499"/>
    <mergeCell ref="M474:M481"/>
    <mergeCell ref="B475:B489"/>
    <mergeCell ref="M482:M499"/>
    <mergeCell ref="C490:C492"/>
    <mergeCell ref="L490:L492"/>
    <mergeCell ref="C493:C494"/>
    <mergeCell ref="L493:L494"/>
    <mergeCell ref="A500:A504"/>
    <mergeCell ref="B501:B505"/>
    <mergeCell ref="A505:A506"/>
    <mergeCell ref="M505:M506"/>
    <mergeCell ref="M508:M509"/>
    <mergeCell ref="A509:A511"/>
    <mergeCell ref="B513:B514"/>
    <mergeCell ref="M516:M517"/>
    <mergeCell ref="B519:B520"/>
    <mergeCell ref="A524:A527"/>
    <mergeCell ref="B524:B527"/>
    <mergeCell ref="A529:A534"/>
    <mergeCell ref="B529:B552"/>
    <mergeCell ref="A557:A560"/>
    <mergeCell ref="B559:B560"/>
    <mergeCell ref="B562:B568"/>
    <mergeCell ref="B571:B573"/>
    <mergeCell ref="A574:A581"/>
    <mergeCell ref="B574:B581"/>
    <mergeCell ref="A583:D583"/>
    <mergeCell ref="A586:A595"/>
    <mergeCell ref="B586:B587"/>
    <mergeCell ref="M586:M656"/>
    <mergeCell ref="A597:A669"/>
    <mergeCell ref="B597:B669"/>
    <mergeCell ref="D597:D604"/>
    <mergeCell ref="D605:D610"/>
    <mergeCell ref="D611:D620"/>
    <mergeCell ref="D621:D630"/>
    <mergeCell ref="M657:M669"/>
    <mergeCell ref="A670:A681"/>
    <mergeCell ref="B670:B681"/>
    <mergeCell ref="A682:A695"/>
    <mergeCell ref="C682:C695"/>
    <mergeCell ref="A697:A711"/>
    <mergeCell ref="B697:B711"/>
    <mergeCell ref="M697:M711"/>
    <mergeCell ref="B715:B717"/>
    <mergeCell ref="A718:A725"/>
    <mergeCell ref="B718:B725"/>
    <mergeCell ref="L718:L725"/>
    <mergeCell ref="M718:M725"/>
    <mergeCell ref="A727:J727"/>
    <mergeCell ref="A730:A737"/>
    <mergeCell ref="B730:B737"/>
    <mergeCell ref="M730:M737"/>
    <mergeCell ref="A739:H739"/>
    <mergeCell ref="I739:M739"/>
    <mergeCell ref="A740:H740"/>
    <mergeCell ref="A741:F741"/>
    <mergeCell ref="A742:A749"/>
    <mergeCell ref="B742:B749"/>
    <mergeCell ref="M742:M748"/>
    <mergeCell ref="A751:A758"/>
    <mergeCell ref="B751:B758"/>
    <mergeCell ref="M751:M757"/>
    <mergeCell ref="A760:A767"/>
    <mergeCell ref="B760:B767"/>
    <mergeCell ref="M760:M766"/>
    <mergeCell ref="A769:A776"/>
    <mergeCell ref="B769:B776"/>
    <mergeCell ref="L769:L775"/>
    <mergeCell ref="M769:M775"/>
    <mergeCell ref="A778:F778"/>
    <mergeCell ref="A779:F779"/>
    <mergeCell ref="A781:A783"/>
    <mergeCell ref="B781:B783"/>
    <mergeCell ref="L781:L786"/>
    <mergeCell ref="M781:M783"/>
    <mergeCell ref="A787:A790"/>
    <mergeCell ref="B787:B790"/>
    <mergeCell ref="L787:L789"/>
    <mergeCell ref="M787:M789"/>
    <mergeCell ref="A792:A812"/>
    <mergeCell ref="B792:B812"/>
    <mergeCell ref="L792:L811"/>
    <mergeCell ref="M792:M811"/>
  </mergeCells>
  <conditionalFormatting sqref="B406:B407 J406:J413">
    <cfRule type="cellIs" priority="1" dxfId="0" operator="lessThan" stopIfTrue="1">
      <formula>0</formula>
    </cfRule>
  </conditionalFormatting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36"/>
  <rowBreaks count="2" manualBreakCount="2">
    <brk id="728" max="255" man="1"/>
    <brk id="762" max="255" man="1"/>
  </rowBreaks>
  <colBreaks count="1" manualBreakCount="1">
    <brk id="14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4"/>
  <sheetViews>
    <sheetView view="pageBreakPreview" zoomScale="65" zoomScaleSheetLayoutView="65" workbookViewId="0" topLeftCell="A1">
      <selection activeCell="A1" sqref="A1"/>
    </sheetView>
  </sheetViews>
  <sheetFormatPr defaultColWidth="9.00390625" defaultRowHeight="12.75"/>
  <cols>
    <col min="1" max="1" width="8.375" style="686" customWidth="1"/>
    <col min="2" max="2" width="33.625" style="687" customWidth="1"/>
    <col min="3" max="3" width="10.375" style="687" customWidth="1"/>
    <col min="4" max="4" width="17.625" style="687" customWidth="1"/>
    <col min="5" max="5" width="10.875" style="687" customWidth="1"/>
    <col min="6" max="7" width="14.50390625" style="687" customWidth="1"/>
    <col min="8" max="8" width="15.125" style="687" customWidth="1"/>
    <col min="9" max="9" width="19.125" style="687" customWidth="1"/>
    <col min="10" max="10" width="16.50390625" style="687" customWidth="1"/>
    <col min="11" max="11" width="22.375" style="687" customWidth="1"/>
    <col min="12" max="12" width="24.125" style="687" customWidth="1"/>
    <col min="13" max="13" width="8.875" style="687" customWidth="1"/>
    <col min="14" max="14" width="17.00390625" style="687" customWidth="1"/>
    <col min="15" max="15" width="9.125" style="687" customWidth="1"/>
    <col min="16" max="16" width="15.875" style="687" customWidth="1"/>
    <col min="17" max="17" width="9.125" style="687" customWidth="1"/>
    <col min="18" max="18" width="11.375" style="687" customWidth="1"/>
    <col min="19" max="16384" width="9.125" style="687" customWidth="1"/>
  </cols>
  <sheetData>
    <row r="1" spans="2:13" ht="22.5" customHeight="1">
      <c r="B1" s="688"/>
      <c r="C1" s="688"/>
      <c r="D1" s="689"/>
      <c r="E1" s="689"/>
      <c r="F1" s="689"/>
      <c r="G1" s="689"/>
      <c r="H1" s="689"/>
      <c r="I1" s="690" t="s">
        <v>412</v>
      </c>
      <c r="J1" s="690"/>
      <c r="K1" s="690"/>
      <c r="L1" s="690"/>
      <c r="M1" s="691"/>
    </row>
    <row r="2" spans="2:13" ht="22.5" customHeight="1">
      <c r="B2" s="688"/>
      <c r="C2" s="688"/>
      <c r="D2" s="689"/>
      <c r="E2" s="689"/>
      <c r="F2" s="689"/>
      <c r="G2" s="689"/>
      <c r="H2" s="689"/>
      <c r="I2" s="692" t="s">
        <v>1</v>
      </c>
      <c r="J2" s="692"/>
      <c r="K2" s="692"/>
      <c r="L2" s="692"/>
      <c r="M2" s="691"/>
    </row>
    <row r="3" spans="2:12" ht="72" customHeight="1">
      <c r="B3" s="693" t="s">
        <v>413</v>
      </c>
      <c r="C3" s="693"/>
      <c r="D3" s="693"/>
      <c r="E3" s="693"/>
      <c r="F3" s="693"/>
      <c r="G3" s="693"/>
      <c r="H3" s="693"/>
      <c r="I3" s="693"/>
      <c r="J3" s="693"/>
      <c r="K3" s="693"/>
      <c r="L3" s="693"/>
    </row>
    <row r="4" spans="1:12" ht="17.25" customHeight="1">
      <c r="A4" s="694"/>
      <c r="B4" s="695" t="s">
        <v>414</v>
      </c>
      <c r="C4" s="695" t="s">
        <v>415</v>
      </c>
      <c r="D4" s="695" t="s">
        <v>416</v>
      </c>
      <c r="E4" s="695" t="s">
        <v>7</v>
      </c>
      <c r="F4" s="695"/>
      <c r="G4" s="695"/>
      <c r="H4" s="695"/>
      <c r="I4" s="695"/>
      <c r="J4" s="695" t="s">
        <v>8</v>
      </c>
      <c r="K4" s="695" t="s">
        <v>417</v>
      </c>
      <c r="L4" s="696" t="s">
        <v>418</v>
      </c>
    </row>
    <row r="5" spans="1:12" ht="15.75" customHeight="1">
      <c r="A5" s="694"/>
      <c r="B5" s="695"/>
      <c r="C5" s="695"/>
      <c r="D5" s="695"/>
      <c r="E5" s="294" t="s">
        <v>11</v>
      </c>
      <c r="F5" s="294" t="s">
        <v>419</v>
      </c>
      <c r="G5" s="294"/>
      <c r="H5" s="294"/>
      <c r="I5" s="294" t="s">
        <v>14</v>
      </c>
      <c r="J5" s="695"/>
      <c r="K5" s="695"/>
      <c r="L5" s="696"/>
    </row>
    <row r="6" spans="1:12" ht="16.5" customHeight="1">
      <c r="A6" s="694"/>
      <c r="B6" s="695"/>
      <c r="C6" s="695"/>
      <c r="D6" s="695"/>
      <c r="E6" s="695"/>
      <c r="F6" s="294" t="s">
        <v>420</v>
      </c>
      <c r="G6" s="294"/>
      <c r="H6" s="294"/>
      <c r="I6" s="294"/>
      <c r="J6" s="294"/>
      <c r="K6" s="294"/>
      <c r="L6" s="696"/>
    </row>
    <row r="7" spans="1:12" ht="15" customHeight="1">
      <c r="A7" s="694"/>
      <c r="B7" s="695"/>
      <c r="C7" s="695"/>
      <c r="D7" s="695"/>
      <c r="E7" s="695"/>
      <c r="F7" s="294" t="s">
        <v>15</v>
      </c>
      <c r="G7" s="294" t="s">
        <v>16</v>
      </c>
      <c r="H7" s="294"/>
      <c r="I7" s="294"/>
      <c r="J7" s="294"/>
      <c r="K7" s="294"/>
      <c r="L7" s="696"/>
    </row>
    <row r="8" spans="1:12" ht="48" customHeight="1">
      <c r="A8" s="694"/>
      <c r="B8" s="695"/>
      <c r="C8" s="695"/>
      <c r="D8" s="695"/>
      <c r="E8" s="695"/>
      <c r="F8" s="695"/>
      <c r="G8" s="294" t="s">
        <v>17</v>
      </c>
      <c r="H8" s="294" t="s">
        <v>18</v>
      </c>
      <c r="I8" s="294"/>
      <c r="J8" s="294"/>
      <c r="K8" s="294"/>
      <c r="L8" s="696"/>
    </row>
    <row r="9" spans="1:12" ht="19.5" customHeight="1">
      <c r="A9" s="697">
        <v>1</v>
      </c>
      <c r="B9" s="148">
        <v>2</v>
      </c>
      <c r="C9" s="148">
        <v>3</v>
      </c>
      <c r="D9" s="148">
        <v>4</v>
      </c>
      <c r="E9" s="148">
        <v>5</v>
      </c>
      <c r="F9" s="148">
        <v>6</v>
      </c>
      <c r="G9" s="148">
        <v>7</v>
      </c>
      <c r="H9" s="148">
        <v>8</v>
      </c>
      <c r="I9" s="148">
        <v>9</v>
      </c>
      <c r="J9" s="148">
        <v>10</v>
      </c>
      <c r="K9" s="148">
        <v>11</v>
      </c>
      <c r="L9" s="698">
        <v>12</v>
      </c>
    </row>
    <row r="10" spans="1:12" ht="18" customHeight="1">
      <c r="A10" s="697"/>
      <c r="B10" s="699" t="s">
        <v>421</v>
      </c>
      <c r="C10" s="699"/>
      <c r="D10" s="699"/>
      <c r="E10" s="699"/>
      <c r="F10" s="699"/>
      <c r="G10" s="699"/>
      <c r="H10" s="699"/>
      <c r="I10" s="699"/>
      <c r="J10" s="699"/>
      <c r="K10" s="699"/>
      <c r="L10" s="699"/>
    </row>
    <row r="11" spans="1:12" ht="20.25" customHeight="1">
      <c r="A11" s="697"/>
      <c r="B11" s="700" t="s">
        <v>422</v>
      </c>
      <c r="C11" s="700"/>
      <c r="D11" s="700"/>
      <c r="E11" s="700"/>
      <c r="F11" s="700"/>
      <c r="G11" s="700"/>
      <c r="H11" s="700"/>
      <c r="I11" s="700"/>
      <c r="J11" s="700"/>
      <c r="K11" s="700"/>
      <c r="L11" s="700"/>
    </row>
    <row r="12" spans="1:12" ht="0.75" customHeight="1">
      <c r="A12" s="697"/>
      <c r="B12" s="700"/>
      <c r="C12" s="700"/>
      <c r="D12" s="700"/>
      <c r="E12" s="700"/>
      <c r="F12" s="700"/>
      <c r="G12" s="700"/>
      <c r="H12" s="700"/>
      <c r="I12" s="700"/>
      <c r="J12" s="700"/>
      <c r="K12" s="700"/>
      <c r="L12" s="700"/>
    </row>
    <row r="13" spans="1:12" ht="18.75" customHeight="1">
      <c r="A13" s="697"/>
      <c r="B13" s="700" t="s">
        <v>423</v>
      </c>
      <c r="C13" s="700"/>
      <c r="D13" s="700"/>
      <c r="E13" s="700"/>
      <c r="F13" s="700"/>
      <c r="G13" s="700"/>
      <c r="H13" s="700"/>
      <c r="I13" s="700"/>
      <c r="J13" s="700"/>
      <c r="K13" s="700"/>
      <c r="L13" s="700"/>
    </row>
    <row r="14" spans="1:12" ht="20.25" customHeight="1">
      <c r="A14" s="697"/>
      <c r="B14" s="701" t="s">
        <v>424</v>
      </c>
      <c r="C14" s="701"/>
      <c r="D14" s="701"/>
      <c r="E14" s="701"/>
      <c r="F14" s="701"/>
      <c r="G14" s="701"/>
      <c r="H14" s="701"/>
      <c r="I14" s="701"/>
      <c r="J14" s="701"/>
      <c r="K14" s="701"/>
      <c r="L14" s="701"/>
    </row>
    <row r="15" spans="1:12" ht="18.75" customHeight="1">
      <c r="A15" s="697"/>
      <c r="B15" s="702" t="s">
        <v>425</v>
      </c>
      <c r="C15" s="148"/>
      <c r="D15" s="148"/>
      <c r="E15" s="148"/>
      <c r="F15" s="294"/>
      <c r="G15" s="294"/>
      <c r="H15" s="294"/>
      <c r="I15" s="294"/>
      <c r="J15" s="294"/>
      <c r="K15" s="294"/>
      <c r="L15" s="703"/>
    </row>
    <row r="16" spans="1:12" ht="26.25" customHeight="1">
      <c r="A16" s="697" t="s">
        <v>60</v>
      </c>
      <c r="B16" s="294" t="s">
        <v>426</v>
      </c>
      <c r="C16" s="704">
        <v>2020</v>
      </c>
      <c r="D16" s="705">
        <f>D17+D18</f>
        <v>3688.6000000000004</v>
      </c>
      <c r="E16" s="705">
        <f>E17+E18</f>
        <v>0</v>
      </c>
      <c r="F16" s="705">
        <f>F17+F18</f>
        <v>3651.7</v>
      </c>
      <c r="G16" s="705">
        <f>G17+G18</f>
        <v>3250</v>
      </c>
      <c r="H16" s="705">
        <f>H17+H18</f>
        <v>401.7</v>
      </c>
      <c r="I16" s="705">
        <f>I17+I18</f>
        <v>36.900000000000006</v>
      </c>
      <c r="J16" s="705">
        <f>J17+J18</f>
        <v>0</v>
      </c>
      <c r="K16" s="294"/>
      <c r="L16" s="706" t="s">
        <v>427</v>
      </c>
    </row>
    <row r="17" spans="1:12" ht="18" customHeight="1">
      <c r="A17" s="697"/>
      <c r="B17" s="294"/>
      <c r="C17" s="41" t="s">
        <v>428</v>
      </c>
      <c r="D17" s="707">
        <f aca="true" t="shared" si="0" ref="D17:D18">E17+F17+I17</f>
        <v>1829.613</v>
      </c>
      <c r="E17" s="707">
        <v>0</v>
      </c>
      <c r="F17" s="707">
        <f aca="true" t="shared" si="1" ref="F17:F18">G17+H17</f>
        <v>1811.31</v>
      </c>
      <c r="G17" s="707">
        <v>1612.06</v>
      </c>
      <c r="H17" s="707">
        <v>199.25</v>
      </c>
      <c r="I17" s="707">
        <v>18.303</v>
      </c>
      <c r="J17" s="294"/>
      <c r="K17" s="294" t="s">
        <v>429</v>
      </c>
      <c r="L17" s="706"/>
    </row>
    <row r="18" spans="1:12" ht="18" customHeight="1">
      <c r="A18" s="697"/>
      <c r="B18" s="294"/>
      <c r="C18" s="41" t="s">
        <v>430</v>
      </c>
      <c r="D18" s="707">
        <f t="shared" si="0"/>
        <v>1858.987</v>
      </c>
      <c r="E18" s="707">
        <v>0</v>
      </c>
      <c r="F18" s="707">
        <f t="shared" si="1"/>
        <v>1840.39</v>
      </c>
      <c r="G18" s="707">
        <v>1637.94</v>
      </c>
      <c r="H18" s="707">
        <v>202.45</v>
      </c>
      <c r="I18" s="707">
        <v>18.597</v>
      </c>
      <c r="J18" s="294"/>
      <c r="K18" s="294" t="s">
        <v>431</v>
      </c>
      <c r="L18" s="706"/>
    </row>
    <row r="19" spans="1:12" ht="18" customHeight="1">
      <c r="A19" s="697"/>
      <c r="B19" s="294"/>
      <c r="C19" s="708">
        <v>2021</v>
      </c>
      <c r="D19" s="705">
        <f>D20+D21</f>
        <v>8509.1</v>
      </c>
      <c r="E19" s="705">
        <f>E20+E21</f>
        <v>0</v>
      </c>
      <c r="F19" s="705">
        <f>F20+F21</f>
        <v>8275.1</v>
      </c>
      <c r="G19" s="705">
        <f>G20+G21</f>
        <v>8041.1</v>
      </c>
      <c r="H19" s="705">
        <f>H20+H21</f>
        <v>234</v>
      </c>
      <c r="I19" s="705">
        <f>I20+I21</f>
        <v>234</v>
      </c>
      <c r="J19" s="705">
        <f>J20+J21</f>
        <v>0</v>
      </c>
      <c r="K19" s="294"/>
      <c r="L19" s="706"/>
    </row>
    <row r="20" spans="1:12" ht="18" customHeight="1">
      <c r="A20" s="697"/>
      <c r="B20" s="294"/>
      <c r="C20" s="41" t="s">
        <v>428</v>
      </c>
      <c r="D20" s="709">
        <f aca="true" t="shared" si="2" ref="D20:D21">E20+F20+I20</f>
        <v>4122.2</v>
      </c>
      <c r="E20" s="148"/>
      <c r="F20" s="707">
        <f aca="true" t="shared" si="3" ref="F20:F21">G20+H20</f>
        <v>4008.8396000000002</v>
      </c>
      <c r="G20" s="707">
        <v>3895.4792</v>
      </c>
      <c r="H20" s="707">
        <v>113.3604</v>
      </c>
      <c r="I20" s="707">
        <v>113.3604</v>
      </c>
      <c r="J20" s="707"/>
      <c r="K20" s="294" t="s">
        <v>429</v>
      </c>
      <c r="L20" s="706"/>
    </row>
    <row r="21" spans="1:12" ht="18" customHeight="1">
      <c r="A21" s="697"/>
      <c r="B21" s="294"/>
      <c r="C21" s="41" t="s">
        <v>430</v>
      </c>
      <c r="D21" s="709">
        <f t="shared" si="2"/>
        <v>4386.900000000001</v>
      </c>
      <c r="E21" s="148"/>
      <c r="F21" s="707">
        <f t="shared" si="3"/>
        <v>4266.2604</v>
      </c>
      <c r="G21" s="707">
        <v>4145.6208</v>
      </c>
      <c r="H21" s="707">
        <v>120.6396</v>
      </c>
      <c r="I21" s="707">
        <v>120.6396</v>
      </c>
      <c r="J21" s="710"/>
      <c r="K21" s="294" t="s">
        <v>431</v>
      </c>
      <c r="L21" s="706"/>
    </row>
    <row r="22" spans="1:12" ht="18" customHeight="1">
      <c r="A22" s="697"/>
      <c r="B22" s="294"/>
      <c r="C22" s="704">
        <v>2022</v>
      </c>
      <c r="D22" s="705">
        <f>D23+D24</f>
        <v>9196.400000000001</v>
      </c>
      <c r="E22" s="705">
        <f>E23+E24</f>
        <v>0</v>
      </c>
      <c r="F22" s="705">
        <f>F23+F24</f>
        <v>8644.6</v>
      </c>
      <c r="G22" s="705">
        <f>G23+G24</f>
        <v>8092.799999999999</v>
      </c>
      <c r="H22" s="705">
        <f>H23+H24</f>
        <v>551.8</v>
      </c>
      <c r="I22" s="705">
        <f>I23+I24</f>
        <v>551.8</v>
      </c>
      <c r="J22" s="705">
        <f>J23+J24</f>
        <v>0</v>
      </c>
      <c r="K22" s="294"/>
      <c r="L22" s="706"/>
    </row>
    <row r="23" spans="1:12" ht="18" customHeight="1">
      <c r="A23" s="697"/>
      <c r="B23" s="294"/>
      <c r="C23" s="41" t="s">
        <v>428</v>
      </c>
      <c r="D23" s="709">
        <f aca="true" t="shared" si="4" ref="D23:D33">E23+F23+I23</f>
        <v>4306.9346000000005</v>
      </c>
      <c r="E23" s="148"/>
      <c r="F23" s="707">
        <f aca="true" t="shared" si="5" ref="F23:F35">G23+H23</f>
        <v>4036.9346</v>
      </c>
      <c r="G23" s="707">
        <v>3766.9346</v>
      </c>
      <c r="H23" s="707">
        <v>270</v>
      </c>
      <c r="I23" s="707">
        <v>270</v>
      </c>
      <c r="J23" s="707"/>
      <c r="K23" s="294" t="s">
        <v>429</v>
      </c>
      <c r="L23" s="706"/>
    </row>
    <row r="24" spans="1:12" ht="18" customHeight="1">
      <c r="A24" s="697"/>
      <c r="B24" s="294"/>
      <c r="C24" s="41" t="s">
        <v>430</v>
      </c>
      <c r="D24" s="709">
        <f t="shared" si="4"/>
        <v>4889.4654</v>
      </c>
      <c r="E24" s="148"/>
      <c r="F24" s="707">
        <f t="shared" si="5"/>
        <v>4607.6654</v>
      </c>
      <c r="G24" s="707">
        <v>4325.8654</v>
      </c>
      <c r="H24" s="707">
        <v>281.8</v>
      </c>
      <c r="I24" s="707">
        <v>281.8</v>
      </c>
      <c r="J24" s="707"/>
      <c r="K24" s="294" t="s">
        <v>431</v>
      </c>
      <c r="L24" s="706"/>
    </row>
    <row r="25" spans="1:12" ht="18" customHeight="1">
      <c r="A25" s="697"/>
      <c r="B25" s="294"/>
      <c r="C25" s="704">
        <v>2023</v>
      </c>
      <c r="D25" s="711">
        <f t="shared" si="4"/>
        <v>9695.400000000001</v>
      </c>
      <c r="E25" s="711">
        <f>E26+E27</f>
        <v>0</v>
      </c>
      <c r="F25" s="705">
        <f t="shared" si="5"/>
        <v>9113.7</v>
      </c>
      <c r="G25" s="705">
        <f>G26+G27</f>
        <v>8532</v>
      </c>
      <c r="H25" s="705">
        <f>H26+H27</f>
        <v>581.7</v>
      </c>
      <c r="I25" s="705">
        <f>I26+I27</f>
        <v>581.7</v>
      </c>
      <c r="J25" s="705">
        <f>J26+J27</f>
        <v>0</v>
      </c>
      <c r="K25" s="704"/>
      <c r="L25" s="706"/>
    </row>
    <row r="26" spans="1:12" ht="18" customHeight="1">
      <c r="A26" s="697"/>
      <c r="B26" s="294"/>
      <c r="C26" s="41" t="s">
        <v>428</v>
      </c>
      <c r="D26" s="709">
        <f t="shared" si="4"/>
        <v>4766.081000000001</v>
      </c>
      <c r="E26" s="148"/>
      <c r="F26" s="707">
        <f t="shared" si="5"/>
        <v>4473.481000000001</v>
      </c>
      <c r="G26" s="707">
        <v>4180.881</v>
      </c>
      <c r="H26" s="707">
        <v>292.6</v>
      </c>
      <c r="I26" s="707">
        <v>292.6</v>
      </c>
      <c r="J26" s="707"/>
      <c r="K26" s="294" t="s">
        <v>429</v>
      </c>
      <c r="L26" s="706"/>
    </row>
    <row r="27" spans="1:12" ht="18" customHeight="1">
      <c r="A27" s="697"/>
      <c r="B27" s="294"/>
      <c r="C27" s="41" t="s">
        <v>430</v>
      </c>
      <c r="D27" s="709">
        <f t="shared" si="4"/>
        <v>4929.319</v>
      </c>
      <c r="E27" s="148"/>
      <c r="F27" s="707">
        <f t="shared" si="5"/>
        <v>4640.219</v>
      </c>
      <c r="G27" s="707">
        <v>4351.119</v>
      </c>
      <c r="H27" s="707">
        <v>289.1</v>
      </c>
      <c r="I27" s="707">
        <v>289.1</v>
      </c>
      <c r="J27" s="707"/>
      <c r="K27" s="294" t="s">
        <v>431</v>
      </c>
      <c r="L27" s="706"/>
    </row>
    <row r="28" spans="1:12" ht="18" customHeight="1">
      <c r="A28" s="697"/>
      <c r="B28" s="294"/>
      <c r="C28" s="704">
        <v>2024</v>
      </c>
      <c r="D28" s="711">
        <f t="shared" si="4"/>
        <v>9435.800000000001</v>
      </c>
      <c r="E28" s="711">
        <f>E29+E30</f>
        <v>0</v>
      </c>
      <c r="F28" s="705">
        <f t="shared" si="5"/>
        <v>8869.6</v>
      </c>
      <c r="G28" s="705">
        <f>G29+G30</f>
        <v>8303.4</v>
      </c>
      <c r="H28" s="705">
        <f>H29+H30</f>
        <v>566.2</v>
      </c>
      <c r="I28" s="705">
        <f>I29+I30</f>
        <v>566.2</v>
      </c>
      <c r="J28" s="705">
        <f>J29+J30</f>
        <v>0</v>
      </c>
      <c r="K28" s="704"/>
      <c r="L28" s="706"/>
    </row>
    <row r="29" spans="1:12" ht="18" customHeight="1">
      <c r="A29" s="697"/>
      <c r="B29" s="294"/>
      <c r="C29" s="41" t="s">
        <v>428</v>
      </c>
      <c r="D29" s="709">
        <f t="shared" si="4"/>
        <v>4617</v>
      </c>
      <c r="E29" s="148"/>
      <c r="F29" s="707">
        <f t="shared" si="5"/>
        <v>4340</v>
      </c>
      <c r="G29" s="707">
        <v>4063</v>
      </c>
      <c r="H29" s="707">
        <v>277</v>
      </c>
      <c r="I29" s="707">
        <v>277</v>
      </c>
      <c r="J29" s="707"/>
      <c r="K29" s="294" t="s">
        <v>429</v>
      </c>
      <c r="L29" s="706"/>
    </row>
    <row r="30" spans="1:12" ht="18" customHeight="1">
      <c r="A30" s="697"/>
      <c r="B30" s="294"/>
      <c r="C30" s="41" t="s">
        <v>430</v>
      </c>
      <c r="D30" s="709">
        <f t="shared" si="4"/>
        <v>4818.799999999999</v>
      </c>
      <c r="E30" s="148"/>
      <c r="F30" s="707">
        <f t="shared" si="5"/>
        <v>4529.599999999999</v>
      </c>
      <c r="G30" s="707">
        <v>4240.4</v>
      </c>
      <c r="H30" s="707">
        <v>289.2</v>
      </c>
      <c r="I30" s="707">
        <v>289.2</v>
      </c>
      <c r="J30" s="707"/>
      <c r="K30" s="294" t="s">
        <v>431</v>
      </c>
      <c r="L30" s="706"/>
    </row>
    <row r="31" spans="1:12" ht="18" customHeight="1">
      <c r="A31" s="697"/>
      <c r="B31" s="294"/>
      <c r="C31" s="704">
        <v>2025</v>
      </c>
      <c r="D31" s="711">
        <f t="shared" si="4"/>
        <v>9435.800000000001</v>
      </c>
      <c r="E31" s="711">
        <f>E32+E33</f>
        <v>0</v>
      </c>
      <c r="F31" s="705">
        <f t="shared" si="5"/>
        <v>8869.6</v>
      </c>
      <c r="G31" s="705">
        <f>G32+G33</f>
        <v>8303.4</v>
      </c>
      <c r="H31" s="705">
        <f>H32+H33</f>
        <v>566.2</v>
      </c>
      <c r="I31" s="705">
        <f>I32+I33</f>
        <v>566.2</v>
      </c>
      <c r="J31" s="705">
        <f>J32+J33</f>
        <v>0</v>
      </c>
      <c r="K31" s="704"/>
      <c r="L31" s="712"/>
    </row>
    <row r="32" spans="1:12" ht="18" customHeight="1">
      <c r="A32" s="697"/>
      <c r="B32" s="294"/>
      <c r="C32" s="41" t="s">
        <v>428</v>
      </c>
      <c r="D32" s="709">
        <f t="shared" si="4"/>
        <v>4617</v>
      </c>
      <c r="E32" s="148"/>
      <c r="F32" s="707">
        <f t="shared" si="5"/>
        <v>4340</v>
      </c>
      <c r="G32" s="707">
        <v>4063</v>
      </c>
      <c r="H32" s="707">
        <v>277</v>
      </c>
      <c r="I32" s="707">
        <v>277</v>
      </c>
      <c r="J32" s="707"/>
      <c r="K32" s="294" t="s">
        <v>429</v>
      </c>
      <c r="L32" s="712"/>
    </row>
    <row r="33" spans="1:12" ht="18" customHeight="1">
      <c r="A33" s="697"/>
      <c r="B33" s="294"/>
      <c r="C33" s="41" t="s">
        <v>430</v>
      </c>
      <c r="D33" s="709">
        <f t="shared" si="4"/>
        <v>4818.799999999999</v>
      </c>
      <c r="E33" s="148"/>
      <c r="F33" s="707">
        <f t="shared" si="5"/>
        <v>4529.599999999999</v>
      </c>
      <c r="G33" s="707">
        <v>4240.4</v>
      </c>
      <c r="H33" s="707">
        <v>289.2</v>
      </c>
      <c r="I33" s="707">
        <v>289.2</v>
      </c>
      <c r="J33" s="707"/>
      <c r="K33" s="294" t="s">
        <v>431</v>
      </c>
      <c r="L33" s="712"/>
    </row>
    <row r="34" spans="1:12" ht="30.75" customHeight="1">
      <c r="A34" s="697" t="s">
        <v>65</v>
      </c>
      <c r="B34" s="41" t="s">
        <v>432</v>
      </c>
      <c r="C34" s="704">
        <v>2017</v>
      </c>
      <c r="D34" s="713">
        <f aca="true" t="shared" si="6" ref="D34:D35">E34+F34+I34+J34</f>
        <v>4116.005999999999</v>
      </c>
      <c r="E34" s="713"/>
      <c r="F34" s="714">
        <f t="shared" si="5"/>
        <v>2078</v>
      </c>
      <c r="G34" s="715">
        <f>G43+G60+G76</f>
        <v>0</v>
      </c>
      <c r="H34" s="715">
        <f>H43+H60+H76</f>
        <v>2078</v>
      </c>
      <c r="I34" s="716">
        <f>I43+I60+I76</f>
        <v>2038.0059999999999</v>
      </c>
      <c r="J34" s="716">
        <f>J43+J60+J76</f>
        <v>0</v>
      </c>
      <c r="K34" s="717" t="s">
        <v>62</v>
      </c>
      <c r="L34" s="706" t="s">
        <v>433</v>
      </c>
    </row>
    <row r="35" spans="1:12" ht="28.5" customHeight="1">
      <c r="A35" s="697"/>
      <c r="B35" s="41"/>
      <c r="C35" s="704">
        <v>2018</v>
      </c>
      <c r="D35" s="713">
        <f t="shared" si="6"/>
        <v>4470.592000000001</v>
      </c>
      <c r="E35" s="713"/>
      <c r="F35" s="714">
        <f t="shared" si="5"/>
        <v>2215</v>
      </c>
      <c r="G35" s="715">
        <f>G44+G45</f>
        <v>0</v>
      </c>
      <c r="H35" s="715">
        <f>H44+H45+H61+H77</f>
        <v>2215</v>
      </c>
      <c r="I35" s="716">
        <f>I44+I45+I61+I77</f>
        <v>2255.592</v>
      </c>
      <c r="J35" s="716">
        <f>J44+J45+J61+J77</f>
        <v>0</v>
      </c>
      <c r="K35" s="718" t="s">
        <v>62</v>
      </c>
      <c r="L35" s="706"/>
    </row>
    <row r="36" spans="1:12" ht="32.25" customHeight="1">
      <c r="A36" s="697"/>
      <c r="B36" s="41"/>
      <c r="C36" s="704">
        <v>2019</v>
      </c>
      <c r="D36" s="716">
        <f>D46+D47+D62+D63+D78+D79</f>
        <v>8785.133109999999</v>
      </c>
      <c r="E36" s="716">
        <f>E46+E47+E62+E63+E78+E79</f>
        <v>0</v>
      </c>
      <c r="F36" s="716">
        <f>F46+F47+F62+F63+F78+F79</f>
        <v>2292</v>
      </c>
      <c r="G36" s="716">
        <f>G46+G47+G62+G63+G78+G79</f>
        <v>0</v>
      </c>
      <c r="H36" s="716">
        <f>H46+H47+H62+H63+H78+H79</f>
        <v>2292</v>
      </c>
      <c r="I36" s="716">
        <f>I46+I47+I62+I63+I78+I79</f>
        <v>3885.83611</v>
      </c>
      <c r="J36" s="716">
        <f>J46+J47+J62+J63+J78+J79</f>
        <v>2607.297</v>
      </c>
      <c r="K36" s="718" t="s">
        <v>62</v>
      </c>
      <c r="L36" s="706"/>
    </row>
    <row r="37" spans="1:12" ht="36" customHeight="1">
      <c r="A37" s="697"/>
      <c r="B37" s="41"/>
      <c r="C37" s="704">
        <v>2020</v>
      </c>
      <c r="D37" s="716">
        <f>D48+D49+D64+D65+D80+D81</f>
        <v>5956.800000000001</v>
      </c>
      <c r="E37" s="716">
        <f>E48+E49+E64+E65+E80+E81</f>
        <v>0</v>
      </c>
      <c r="F37" s="716">
        <f>F48+F49+F64+F65+F80+F81</f>
        <v>2272.5</v>
      </c>
      <c r="G37" s="716">
        <f>G48+G49+G64+G65+G80+G81</f>
        <v>0</v>
      </c>
      <c r="H37" s="716">
        <f>H48+H49+H64+H65+H80+H81</f>
        <v>2272.5</v>
      </c>
      <c r="I37" s="716">
        <f>I48+I49+I64+I65+I80+I81</f>
        <v>3684.3</v>
      </c>
      <c r="J37" s="716">
        <f>J48+J49+J64+J65+J80+J81+J105+J95</f>
        <v>0</v>
      </c>
      <c r="K37" s="718" t="s">
        <v>62</v>
      </c>
      <c r="L37" s="706"/>
    </row>
    <row r="38" spans="1:12" ht="36" customHeight="1">
      <c r="A38" s="697"/>
      <c r="B38" s="41"/>
      <c r="C38" s="704">
        <v>2021</v>
      </c>
      <c r="D38" s="716">
        <f>D50+D51+D66+D67+D82+D83+D106</f>
        <v>2920.609</v>
      </c>
      <c r="E38" s="716">
        <f>E50+E51+E66+E67+E82+E83+E106</f>
        <v>0</v>
      </c>
      <c r="F38" s="716">
        <f>F50+F51+F66+F67+F82+F83+F106</f>
        <v>0</v>
      </c>
      <c r="G38" s="716">
        <f>G50+G51+G66+G67+G82+G83+G106</f>
        <v>0</v>
      </c>
      <c r="H38" s="716">
        <f>H50+H51+H66+H67+H82+H83+H106</f>
        <v>0</v>
      </c>
      <c r="I38" s="716">
        <f>I50+I51+I66+I67+I82+I83+I106</f>
        <v>2920.609</v>
      </c>
      <c r="J38" s="716">
        <f>J50+J51+J66+J67+J82+J83+J106</f>
        <v>0</v>
      </c>
      <c r="K38" s="718" t="s">
        <v>62</v>
      </c>
      <c r="L38" s="706"/>
    </row>
    <row r="39" spans="1:12" ht="34.5" customHeight="1">
      <c r="A39" s="697"/>
      <c r="B39" s="41"/>
      <c r="C39" s="704">
        <v>2022</v>
      </c>
      <c r="D39" s="716">
        <f>D52+D53+D68+D69+D84+D85+D107</f>
        <v>3584.4579999999996</v>
      </c>
      <c r="E39" s="716">
        <f>E52+E53+E68+E69+E84+E85+E107</f>
        <v>0</v>
      </c>
      <c r="F39" s="716">
        <f>F52+F53+F68+F69+F84+F85+F107</f>
        <v>0</v>
      </c>
      <c r="G39" s="716">
        <f>G52+G53+G68+G69+G84+G85+G107</f>
        <v>0</v>
      </c>
      <c r="H39" s="716">
        <f>H52+H53+H68+H69+H84+H85+H107</f>
        <v>0</v>
      </c>
      <c r="I39" s="716">
        <f>I52+I53+I68+I69+I84+I85+I107</f>
        <v>3584.4579999999996</v>
      </c>
      <c r="J39" s="716">
        <f>J52+J53+J68+J69+J84+J85+J107</f>
        <v>0</v>
      </c>
      <c r="K39" s="718" t="s">
        <v>62</v>
      </c>
      <c r="L39" s="706"/>
    </row>
    <row r="40" spans="1:12" ht="32.25" customHeight="1">
      <c r="A40" s="697"/>
      <c r="B40" s="41"/>
      <c r="C40" s="704">
        <v>2023</v>
      </c>
      <c r="D40" s="716">
        <f>D54+D55+D70+D71+D86+D87</f>
        <v>3665</v>
      </c>
      <c r="E40" s="716">
        <f>E54+E55+E70+E71+E86+E87</f>
        <v>0</v>
      </c>
      <c r="F40" s="716">
        <f>F54+F55+F70+F71+F86+F87</f>
        <v>0</v>
      </c>
      <c r="G40" s="716">
        <f>G54+G55+G70+G71+G86+G87</f>
        <v>0</v>
      </c>
      <c r="H40" s="716">
        <f>H54+H55+H70+H71+H86+H87</f>
        <v>0</v>
      </c>
      <c r="I40" s="716">
        <f>I70+I71+I86+I87</f>
        <v>3665</v>
      </c>
      <c r="J40" s="716">
        <f>J54+J55+J70+J71+J86+J87</f>
        <v>0</v>
      </c>
      <c r="K40" s="718" t="s">
        <v>62</v>
      </c>
      <c r="L40" s="706"/>
    </row>
    <row r="41" spans="1:12" ht="32.25" customHeight="1">
      <c r="A41" s="697"/>
      <c r="B41" s="41"/>
      <c r="C41" s="704">
        <v>2024</v>
      </c>
      <c r="D41" s="716">
        <f>D56+D57+D72+D73+D88+D89</f>
        <v>3682.5</v>
      </c>
      <c r="E41" s="716">
        <f>E56+E57+E72+E73+E88+E89</f>
        <v>0</v>
      </c>
      <c r="F41" s="716">
        <f>F56+F57+F72+F73+F88+F89</f>
        <v>0</v>
      </c>
      <c r="G41" s="716">
        <f>G56+G57+G72+G73+G88+G89</f>
        <v>0</v>
      </c>
      <c r="H41" s="716">
        <f>H56+H57+H72+H73+H88+H89</f>
        <v>0</v>
      </c>
      <c r="I41" s="716">
        <f>I56+I57+I72+I73+I88+I89</f>
        <v>3682.5</v>
      </c>
      <c r="J41" s="716">
        <f>J56+J57+J72+J73+J88+J89</f>
        <v>0</v>
      </c>
      <c r="K41" s="718" t="s">
        <v>62</v>
      </c>
      <c r="L41" s="706"/>
    </row>
    <row r="42" spans="1:12" ht="33" customHeight="1">
      <c r="A42" s="697"/>
      <c r="B42" s="41"/>
      <c r="C42" s="704">
        <v>2025</v>
      </c>
      <c r="D42" s="716">
        <f>D58+D59+D74+D75+D90+D91</f>
        <v>3682.5</v>
      </c>
      <c r="E42" s="716">
        <f>E58+E59+E74+E75+E90+E91</f>
        <v>0</v>
      </c>
      <c r="F42" s="716">
        <f>F58+F59+F74+F75+F90+F91</f>
        <v>0</v>
      </c>
      <c r="G42" s="716">
        <f>G58+G59+G74+G75+G90+G91</f>
        <v>0</v>
      </c>
      <c r="H42" s="716">
        <f>H58+H59+H74+H75+H90+H91</f>
        <v>0</v>
      </c>
      <c r="I42" s="716">
        <f>I58+I59+I74+I75+I90+I91</f>
        <v>3682.5</v>
      </c>
      <c r="J42" s="716">
        <f>J58+J59+J74+J75+J90+J91</f>
        <v>0</v>
      </c>
      <c r="K42" s="718" t="s">
        <v>62</v>
      </c>
      <c r="L42" s="706"/>
    </row>
    <row r="43" spans="1:12" ht="41.25" customHeight="1">
      <c r="A43" s="697" t="s">
        <v>71</v>
      </c>
      <c r="B43" s="719" t="s">
        <v>434</v>
      </c>
      <c r="C43" s="294">
        <v>2017</v>
      </c>
      <c r="D43" s="714">
        <f>E43+F43+I43+J43</f>
        <v>3178</v>
      </c>
      <c r="E43" s="713"/>
      <c r="F43" s="714">
        <f aca="true" t="shared" si="7" ref="F43:F114">G43+H43</f>
        <v>2078</v>
      </c>
      <c r="G43" s="714"/>
      <c r="H43" s="714">
        <v>2078</v>
      </c>
      <c r="I43" s="720">
        <v>1100</v>
      </c>
      <c r="J43" s="714"/>
      <c r="K43" s="717" t="s">
        <v>62</v>
      </c>
      <c r="L43" s="706"/>
    </row>
    <row r="44" spans="1:12" ht="18" customHeight="1">
      <c r="A44" s="697"/>
      <c r="B44" s="719"/>
      <c r="C44" s="294">
        <v>2018</v>
      </c>
      <c r="D44" s="714">
        <f>E44+E45+F44+F45+I44+I45+J44+J45</f>
        <v>3452.592</v>
      </c>
      <c r="E44" s="713"/>
      <c r="F44" s="714">
        <f t="shared" si="7"/>
        <v>1115.565</v>
      </c>
      <c r="G44" s="714"/>
      <c r="H44" s="714">
        <v>1115.565</v>
      </c>
      <c r="I44" s="720">
        <f>585.06+36.81946+0.0005</f>
        <v>621.87996</v>
      </c>
      <c r="J44" s="714"/>
      <c r="K44" s="294" t="s">
        <v>429</v>
      </c>
      <c r="L44" s="706"/>
    </row>
    <row r="45" spans="1:12" ht="18" customHeight="1">
      <c r="A45" s="697"/>
      <c r="B45" s="719"/>
      <c r="C45" s="294"/>
      <c r="D45" s="714"/>
      <c r="E45" s="713"/>
      <c r="F45" s="714">
        <f t="shared" si="7"/>
        <v>1099.435</v>
      </c>
      <c r="G45" s="714"/>
      <c r="H45" s="714">
        <v>1099.435</v>
      </c>
      <c r="I45" s="720">
        <f>635.056-19.34396</f>
        <v>615.71204</v>
      </c>
      <c r="J45" s="714"/>
      <c r="K45" s="294" t="s">
        <v>431</v>
      </c>
      <c r="L45" s="706"/>
    </row>
    <row r="46" spans="1:12" ht="18" customHeight="1">
      <c r="A46" s="697"/>
      <c r="B46" s="719"/>
      <c r="C46" s="294">
        <v>2019</v>
      </c>
      <c r="D46" s="714">
        <f aca="true" t="shared" si="8" ref="D46:D101">E46+F46+I46+J46</f>
        <v>2018.6999999999998</v>
      </c>
      <c r="E46" s="713"/>
      <c r="F46" s="714">
        <f t="shared" si="7"/>
        <v>1143.3</v>
      </c>
      <c r="G46" s="714"/>
      <c r="H46" s="714">
        <v>1143.3</v>
      </c>
      <c r="I46" s="720">
        <f>875.4</f>
        <v>875.4</v>
      </c>
      <c r="J46" s="714"/>
      <c r="K46" s="294" t="s">
        <v>429</v>
      </c>
      <c r="L46" s="706"/>
    </row>
    <row r="47" spans="1:12" ht="18" customHeight="1">
      <c r="A47" s="697"/>
      <c r="B47" s="719"/>
      <c r="C47" s="294"/>
      <c r="D47" s="721">
        <f t="shared" si="8"/>
        <v>2024.1</v>
      </c>
      <c r="E47" s="722"/>
      <c r="F47" s="721">
        <f t="shared" si="7"/>
        <v>1148.7</v>
      </c>
      <c r="G47" s="721"/>
      <c r="H47" s="721">
        <v>1148.7</v>
      </c>
      <c r="I47" s="723">
        <v>875.4</v>
      </c>
      <c r="J47" s="721"/>
      <c r="K47" s="294" t="s">
        <v>431</v>
      </c>
      <c r="L47" s="706"/>
    </row>
    <row r="48" spans="1:12" ht="18" customHeight="1">
      <c r="A48" s="697"/>
      <c r="B48" s="719"/>
      <c r="C48" s="294">
        <v>2020</v>
      </c>
      <c r="D48" s="721">
        <f t="shared" si="8"/>
        <v>2136.4</v>
      </c>
      <c r="E48" s="722"/>
      <c r="F48" s="721">
        <f t="shared" si="7"/>
        <v>1161</v>
      </c>
      <c r="G48" s="721"/>
      <c r="H48" s="721">
        <f>1244-83</f>
        <v>1161</v>
      </c>
      <c r="I48" s="723">
        <v>975.4</v>
      </c>
      <c r="J48" s="721"/>
      <c r="K48" s="294" t="s">
        <v>429</v>
      </c>
      <c r="L48" s="706"/>
    </row>
    <row r="49" spans="1:12" ht="18" customHeight="1">
      <c r="A49" s="697"/>
      <c r="B49" s="719"/>
      <c r="C49" s="294"/>
      <c r="D49" s="721">
        <f t="shared" si="8"/>
        <v>1786.9</v>
      </c>
      <c r="E49" s="722"/>
      <c r="F49" s="721">
        <f t="shared" si="7"/>
        <v>1111.5</v>
      </c>
      <c r="G49" s="721"/>
      <c r="H49" s="721">
        <f>1468.5-357</f>
        <v>1111.5</v>
      </c>
      <c r="I49" s="723">
        <f>975.4-300</f>
        <v>675.4</v>
      </c>
      <c r="J49" s="721"/>
      <c r="K49" s="294" t="s">
        <v>431</v>
      </c>
      <c r="L49" s="706"/>
    </row>
    <row r="50" spans="1:12" ht="18" customHeight="1">
      <c r="A50" s="697"/>
      <c r="B50" s="719"/>
      <c r="C50" s="294">
        <v>2021</v>
      </c>
      <c r="D50" s="721">
        <f t="shared" si="8"/>
        <v>0</v>
      </c>
      <c r="E50" s="722"/>
      <c r="F50" s="721">
        <f t="shared" si="7"/>
        <v>0</v>
      </c>
      <c r="G50" s="721"/>
      <c r="H50" s="721">
        <v>0</v>
      </c>
      <c r="I50" s="723">
        <v>0</v>
      </c>
      <c r="J50" s="721"/>
      <c r="K50" s="294" t="s">
        <v>429</v>
      </c>
      <c r="L50" s="706"/>
    </row>
    <row r="51" spans="1:12" ht="18" customHeight="1">
      <c r="A51" s="697"/>
      <c r="B51" s="719"/>
      <c r="C51" s="294"/>
      <c r="D51" s="721">
        <f t="shared" si="8"/>
        <v>0</v>
      </c>
      <c r="E51" s="722"/>
      <c r="F51" s="721">
        <f t="shared" si="7"/>
        <v>0</v>
      </c>
      <c r="G51" s="721"/>
      <c r="H51" s="721">
        <v>0</v>
      </c>
      <c r="I51" s="723">
        <v>0</v>
      </c>
      <c r="J51" s="721"/>
      <c r="K51" s="294" t="s">
        <v>431</v>
      </c>
      <c r="L51" s="706"/>
    </row>
    <row r="52" spans="1:12" ht="18" customHeight="1">
      <c r="A52" s="697"/>
      <c r="B52" s="719"/>
      <c r="C52" s="294">
        <v>2022</v>
      </c>
      <c r="D52" s="721">
        <f t="shared" si="8"/>
        <v>0</v>
      </c>
      <c r="E52" s="722"/>
      <c r="F52" s="721">
        <f t="shared" si="7"/>
        <v>0</v>
      </c>
      <c r="G52" s="721"/>
      <c r="H52" s="721">
        <v>0</v>
      </c>
      <c r="I52" s="723">
        <v>0</v>
      </c>
      <c r="J52" s="721"/>
      <c r="K52" s="294" t="s">
        <v>429</v>
      </c>
      <c r="L52" s="706"/>
    </row>
    <row r="53" spans="1:12" ht="18" customHeight="1">
      <c r="A53" s="697"/>
      <c r="B53" s="719"/>
      <c r="C53" s="294"/>
      <c r="D53" s="721">
        <f t="shared" si="8"/>
        <v>0</v>
      </c>
      <c r="E53" s="722"/>
      <c r="F53" s="721">
        <f t="shared" si="7"/>
        <v>0</v>
      </c>
      <c r="G53" s="721"/>
      <c r="H53" s="721">
        <v>0</v>
      </c>
      <c r="I53" s="723">
        <v>0</v>
      </c>
      <c r="J53" s="721"/>
      <c r="K53" s="294" t="s">
        <v>431</v>
      </c>
      <c r="L53" s="706"/>
    </row>
    <row r="54" spans="1:12" ht="18" customHeight="1">
      <c r="A54" s="697"/>
      <c r="B54" s="719"/>
      <c r="C54" s="294">
        <v>2023</v>
      </c>
      <c r="D54" s="721">
        <f t="shared" si="8"/>
        <v>0</v>
      </c>
      <c r="E54" s="722"/>
      <c r="F54" s="721">
        <f t="shared" si="7"/>
        <v>0</v>
      </c>
      <c r="G54" s="721"/>
      <c r="H54" s="721">
        <v>0</v>
      </c>
      <c r="I54" s="723">
        <v>0</v>
      </c>
      <c r="J54" s="721"/>
      <c r="K54" s="294" t="s">
        <v>429</v>
      </c>
      <c r="L54" s="706"/>
    </row>
    <row r="55" spans="1:12" ht="18" customHeight="1">
      <c r="A55" s="697"/>
      <c r="B55" s="719"/>
      <c r="C55" s="294"/>
      <c r="D55" s="721">
        <f t="shared" si="8"/>
        <v>0</v>
      </c>
      <c r="E55" s="722"/>
      <c r="F55" s="721">
        <f t="shared" si="7"/>
        <v>0</v>
      </c>
      <c r="G55" s="721"/>
      <c r="H55" s="721">
        <v>0</v>
      </c>
      <c r="I55" s="723">
        <v>0</v>
      </c>
      <c r="J55" s="721"/>
      <c r="K55" s="294" t="s">
        <v>431</v>
      </c>
      <c r="L55" s="706"/>
    </row>
    <row r="56" spans="1:12" ht="18" customHeight="1">
      <c r="A56" s="697"/>
      <c r="B56" s="719"/>
      <c r="C56" s="294">
        <v>2024</v>
      </c>
      <c r="D56" s="721">
        <f t="shared" si="8"/>
        <v>0</v>
      </c>
      <c r="E56" s="722"/>
      <c r="F56" s="721">
        <f t="shared" si="7"/>
        <v>0</v>
      </c>
      <c r="G56" s="721"/>
      <c r="H56" s="721">
        <v>0</v>
      </c>
      <c r="I56" s="723">
        <v>0</v>
      </c>
      <c r="J56" s="721"/>
      <c r="K56" s="294" t="s">
        <v>429</v>
      </c>
      <c r="L56" s="706"/>
    </row>
    <row r="57" spans="1:12" ht="18" customHeight="1">
      <c r="A57" s="697"/>
      <c r="B57" s="719"/>
      <c r="C57" s="294"/>
      <c r="D57" s="721">
        <f t="shared" si="8"/>
        <v>0</v>
      </c>
      <c r="E57" s="722"/>
      <c r="F57" s="721">
        <f t="shared" si="7"/>
        <v>0</v>
      </c>
      <c r="G57" s="721"/>
      <c r="H57" s="721">
        <v>0</v>
      </c>
      <c r="I57" s="723">
        <v>0</v>
      </c>
      <c r="J57" s="721"/>
      <c r="K57" s="294" t="s">
        <v>431</v>
      </c>
      <c r="L57" s="706"/>
    </row>
    <row r="58" spans="1:12" ht="18" customHeight="1">
      <c r="A58" s="697"/>
      <c r="B58" s="719"/>
      <c r="C58" s="294">
        <v>2025</v>
      </c>
      <c r="D58" s="721">
        <f t="shared" si="8"/>
        <v>0</v>
      </c>
      <c r="E58" s="722"/>
      <c r="F58" s="721">
        <f t="shared" si="7"/>
        <v>0</v>
      </c>
      <c r="G58" s="721"/>
      <c r="H58" s="721">
        <v>0</v>
      </c>
      <c r="I58" s="723">
        <v>0</v>
      </c>
      <c r="J58" s="721"/>
      <c r="K58" s="294" t="s">
        <v>429</v>
      </c>
      <c r="L58" s="706"/>
    </row>
    <row r="59" spans="1:12" ht="18" customHeight="1">
      <c r="A59" s="697"/>
      <c r="B59" s="719"/>
      <c r="C59" s="294"/>
      <c r="D59" s="721">
        <f t="shared" si="8"/>
        <v>0</v>
      </c>
      <c r="E59" s="722"/>
      <c r="F59" s="721">
        <f t="shared" si="7"/>
        <v>0</v>
      </c>
      <c r="G59" s="721"/>
      <c r="H59" s="721">
        <v>0</v>
      </c>
      <c r="I59" s="723">
        <v>0</v>
      </c>
      <c r="J59" s="721"/>
      <c r="K59" s="294" t="s">
        <v>431</v>
      </c>
      <c r="L59" s="706"/>
    </row>
    <row r="60" spans="1:12" ht="18" customHeight="1">
      <c r="A60" s="697" t="s">
        <v>73</v>
      </c>
      <c r="B60" s="719" t="s">
        <v>435</v>
      </c>
      <c r="C60" s="294">
        <v>2017</v>
      </c>
      <c r="D60" s="721">
        <f t="shared" si="8"/>
        <v>257.885</v>
      </c>
      <c r="E60" s="722"/>
      <c r="F60" s="721">
        <f t="shared" si="7"/>
        <v>0</v>
      </c>
      <c r="G60" s="721"/>
      <c r="H60" s="721">
        <v>0</v>
      </c>
      <c r="I60" s="723">
        <v>257.885</v>
      </c>
      <c r="J60" s="721"/>
      <c r="K60" s="314" t="s">
        <v>62</v>
      </c>
      <c r="L60" s="706"/>
    </row>
    <row r="61" spans="1:12" ht="18" customHeight="1">
      <c r="A61" s="697"/>
      <c r="B61" s="719"/>
      <c r="C61" s="294">
        <v>2018</v>
      </c>
      <c r="D61" s="721">
        <f t="shared" si="8"/>
        <v>117</v>
      </c>
      <c r="E61" s="722"/>
      <c r="F61" s="721">
        <f t="shared" si="7"/>
        <v>0</v>
      </c>
      <c r="G61" s="721"/>
      <c r="H61" s="721">
        <v>0</v>
      </c>
      <c r="I61" s="723">
        <v>117</v>
      </c>
      <c r="J61" s="721"/>
      <c r="K61" s="314" t="s">
        <v>436</v>
      </c>
      <c r="L61" s="706"/>
    </row>
    <row r="62" spans="1:12" ht="18" customHeight="1">
      <c r="A62" s="697"/>
      <c r="B62" s="719"/>
      <c r="C62" s="294">
        <v>2019</v>
      </c>
      <c r="D62" s="721">
        <f t="shared" si="8"/>
        <v>65</v>
      </c>
      <c r="E62" s="722"/>
      <c r="F62" s="721">
        <f t="shared" si="7"/>
        <v>0</v>
      </c>
      <c r="G62" s="721"/>
      <c r="H62" s="721">
        <v>0</v>
      </c>
      <c r="I62" s="723">
        <v>65</v>
      </c>
      <c r="J62" s="721"/>
      <c r="K62" s="294" t="s">
        <v>429</v>
      </c>
      <c r="L62" s="706"/>
    </row>
    <row r="63" spans="1:12" ht="18" customHeight="1">
      <c r="A63" s="697"/>
      <c r="B63" s="719"/>
      <c r="C63" s="294"/>
      <c r="D63" s="721">
        <f t="shared" si="8"/>
        <v>56</v>
      </c>
      <c r="E63" s="722"/>
      <c r="F63" s="721">
        <f t="shared" si="7"/>
        <v>0</v>
      </c>
      <c r="G63" s="721"/>
      <c r="H63" s="721">
        <v>0</v>
      </c>
      <c r="I63" s="723">
        <v>56</v>
      </c>
      <c r="J63" s="721"/>
      <c r="K63" s="294" t="s">
        <v>431</v>
      </c>
      <c r="L63" s="706"/>
    </row>
    <row r="64" spans="1:12" ht="18" customHeight="1">
      <c r="A64" s="697"/>
      <c r="B64" s="719"/>
      <c r="C64" s="294">
        <v>2020</v>
      </c>
      <c r="D64" s="721">
        <f t="shared" si="8"/>
        <v>173.5</v>
      </c>
      <c r="E64" s="722"/>
      <c r="F64" s="721">
        <f t="shared" si="7"/>
        <v>0</v>
      </c>
      <c r="G64" s="721"/>
      <c r="H64" s="721">
        <v>0</v>
      </c>
      <c r="I64" s="723">
        <f>185.885-0.015-12.37</f>
        <v>173.5</v>
      </c>
      <c r="J64" s="721"/>
      <c r="K64" s="294" t="s">
        <v>429</v>
      </c>
      <c r="L64" s="706"/>
    </row>
    <row r="65" spans="1:12" ht="18" customHeight="1">
      <c r="A65" s="697"/>
      <c r="B65" s="719"/>
      <c r="C65" s="294"/>
      <c r="D65" s="721">
        <f t="shared" si="8"/>
        <v>166.1</v>
      </c>
      <c r="E65" s="722"/>
      <c r="F65" s="721">
        <f t="shared" si="7"/>
        <v>0</v>
      </c>
      <c r="G65" s="721"/>
      <c r="H65" s="721">
        <v>0</v>
      </c>
      <c r="I65" s="723">
        <v>166.1</v>
      </c>
      <c r="J65" s="721"/>
      <c r="K65" s="294" t="s">
        <v>431</v>
      </c>
      <c r="L65" s="706"/>
    </row>
    <row r="66" spans="1:12" ht="18" customHeight="1">
      <c r="A66" s="697"/>
      <c r="B66" s="719"/>
      <c r="C66" s="294">
        <v>2021</v>
      </c>
      <c r="D66" s="721">
        <f t="shared" si="8"/>
        <v>0</v>
      </c>
      <c r="E66" s="722"/>
      <c r="F66" s="721">
        <f t="shared" si="7"/>
        <v>0</v>
      </c>
      <c r="G66" s="721"/>
      <c r="H66" s="721">
        <v>0</v>
      </c>
      <c r="I66" s="723">
        <v>0</v>
      </c>
      <c r="J66" s="721"/>
      <c r="K66" s="294" t="s">
        <v>429</v>
      </c>
      <c r="L66" s="706"/>
    </row>
    <row r="67" spans="1:12" ht="18" customHeight="1">
      <c r="A67" s="697"/>
      <c r="B67" s="719"/>
      <c r="C67" s="294"/>
      <c r="D67" s="722">
        <f t="shared" si="8"/>
        <v>0</v>
      </c>
      <c r="E67" s="722"/>
      <c r="F67" s="721">
        <f t="shared" si="7"/>
        <v>0</v>
      </c>
      <c r="G67" s="721"/>
      <c r="H67" s="721">
        <v>0</v>
      </c>
      <c r="I67" s="723">
        <v>0</v>
      </c>
      <c r="J67" s="721"/>
      <c r="K67" s="294" t="s">
        <v>431</v>
      </c>
      <c r="L67" s="706"/>
    </row>
    <row r="68" spans="1:12" ht="18" customHeight="1">
      <c r="A68" s="697"/>
      <c r="B68" s="719"/>
      <c r="C68" s="148">
        <v>2022</v>
      </c>
      <c r="D68" s="722">
        <f t="shared" si="8"/>
        <v>0</v>
      </c>
      <c r="E68" s="722"/>
      <c r="F68" s="721">
        <f t="shared" si="7"/>
        <v>0</v>
      </c>
      <c r="G68" s="721"/>
      <c r="H68" s="721">
        <v>0</v>
      </c>
      <c r="I68" s="723">
        <v>0</v>
      </c>
      <c r="J68" s="721"/>
      <c r="K68" s="294" t="s">
        <v>429</v>
      </c>
      <c r="L68" s="706"/>
    </row>
    <row r="69" spans="1:12" ht="18" customHeight="1">
      <c r="A69" s="697"/>
      <c r="B69" s="719"/>
      <c r="C69" s="148"/>
      <c r="D69" s="722">
        <f t="shared" si="8"/>
        <v>0</v>
      </c>
      <c r="E69" s="722"/>
      <c r="F69" s="721">
        <f t="shared" si="7"/>
        <v>0</v>
      </c>
      <c r="G69" s="721"/>
      <c r="H69" s="721">
        <v>0</v>
      </c>
      <c r="I69" s="723">
        <v>0</v>
      </c>
      <c r="J69" s="721"/>
      <c r="K69" s="294" t="s">
        <v>431</v>
      </c>
      <c r="L69" s="706"/>
    </row>
    <row r="70" spans="1:12" ht="18" customHeight="1">
      <c r="A70" s="697"/>
      <c r="B70" s="719"/>
      <c r="C70" s="148">
        <v>2023</v>
      </c>
      <c r="D70" s="722">
        <f t="shared" si="8"/>
        <v>0</v>
      </c>
      <c r="E70" s="722"/>
      <c r="F70" s="721">
        <f t="shared" si="7"/>
        <v>0</v>
      </c>
      <c r="G70" s="721"/>
      <c r="H70" s="721">
        <v>0</v>
      </c>
      <c r="I70" s="723">
        <v>0</v>
      </c>
      <c r="J70" s="721"/>
      <c r="K70" s="294" t="s">
        <v>429</v>
      </c>
      <c r="L70" s="706"/>
    </row>
    <row r="71" spans="1:12" ht="18" customHeight="1">
      <c r="A71" s="697"/>
      <c r="B71" s="719"/>
      <c r="C71" s="148"/>
      <c r="D71" s="722">
        <f t="shared" si="8"/>
        <v>0</v>
      </c>
      <c r="E71" s="722"/>
      <c r="F71" s="721">
        <f t="shared" si="7"/>
        <v>0</v>
      </c>
      <c r="G71" s="721"/>
      <c r="H71" s="721">
        <v>0</v>
      </c>
      <c r="I71" s="723">
        <v>0</v>
      </c>
      <c r="J71" s="721"/>
      <c r="K71" s="294" t="s">
        <v>431</v>
      </c>
      <c r="L71" s="706"/>
    </row>
    <row r="72" spans="1:12" ht="18" customHeight="1">
      <c r="A72" s="697"/>
      <c r="B72" s="719"/>
      <c r="C72" s="148">
        <v>2024</v>
      </c>
      <c r="D72" s="722">
        <f t="shared" si="8"/>
        <v>0</v>
      </c>
      <c r="E72" s="722"/>
      <c r="F72" s="721">
        <f t="shared" si="7"/>
        <v>0</v>
      </c>
      <c r="G72" s="721"/>
      <c r="H72" s="721">
        <v>0</v>
      </c>
      <c r="I72" s="723">
        <v>0</v>
      </c>
      <c r="J72" s="721"/>
      <c r="K72" s="294" t="s">
        <v>429</v>
      </c>
      <c r="L72" s="706"/>
    </row>
    <row r="73" spans="1:12" ht="18" customHeight="1">
      <c r="A73" s="697"/>
      <c r="B73" s="719"/>
      <c r="C73" s="148"/>
      <c r="D73" s="722">
        <f t="shared" si="8"/>
        <v>0</v>
      </c>
      <c r="E73" s="722"/>
      <c r="F73" s="721">
        <f t="shared" si="7"/>
        <v>0</v>
      </c>
      <c r="G73" s="721"/>
      <c r="H73" s="721">
        <v>0</v>
      </c>
      <c r="I73" s="723">
        <v>0</v>
      </c>
      <c r="J73" s="721"/>
      <c r="K73" s="294" t="s">
        <v>431</v>
      </c>
      <c r="L73" s="706"/>
    </row>
    <row r="74" spans="1:12" ht="18" customHeight="1">
      <c r="A74" s="697"/>
      <c r="B74" s="719"/>
      <c r="C74" s="148">
        <v>2025</v>
      </c>
      <c r="D74" s="722">
        <f t="shared" si="8"/>
        <v>0</v>
      </c>
      <c r="E74" s="722"/>
      <c r="F74" s="721">
        <f t="shared" si="7"/>
        <v>0</v>
      </c>
      <c r="G74" s="721"/>
      <c r="H74" s="721">
        <v>0</v>
      </c>
      <c r="I74" s="723">
        <v>0</v>
      </c>
      <c r="J74" s="721"/>
      <c r="K74" s="294" t="s">
        <v>429</v>
      </c>
      <c r="L74" s="706"/>
    </row>
    <row r="75" spans="1:12" ht="18" customHeight="1">
      <c r="A75" s="697"/>
      <c r="B75" s="719"/>
      <c r="C75" s="148"/>
      <c r="D75" s="722">
        <f t="shared" si="8"/>
        <v>0</v>
      </c>
      <c r="E75" s="722"/>
      <c r="F75" s="721">
        <f t="shared" si="7"/>
        <v>0</v>
      </c>
      <c r="G75" s="721"/>
      <c r="H75" s="721">
        <v>0</v>
      </c>
      <c r="I75" s="723">
        <v>0</v>
      </c>
      <c r="J75" s="721"/>
      <c r="K75" s="294" t="s">
        <v>431</v>
      </c>
      <c r="L75" s="706"/>
    </row>
    <row r="76" spans="1:12" ht="31.5" customHeight="1">
      <c r="A76" s="697" t="s">
        <v>437</v>
      </c>
      <c r="B76" s="719" t="s">
        <v>438</v>
      </c>
      <c r="C76" s="148">
        <v>2017</v>
      </c>
      <c r="D76" s="722">
        <f t="shared" si="8"/>
        <v>680.121</v>
      </c>
      <c r="E76" s="722"/>
      <c r="F76" s="721">
        <f t="shared" si="7"/>
        <v>0</v>
      </c>
      <c r="G76" s="721"/>
      <c r="H76" s="721">
        <v>0</v>
      </c>
      <c r="I76" s="723">
        <v>680.121</v>
      </c>
      <c r="J76" s="721"/>
      <c r="K76" s="717" t="s">
        <v>62</v>
      </c>
      <c r="L76" s="706"/>
    </row>
    <row r="77" spans="1:12" ht="18" customHeight="1">
      <c r="A77" s="697"/>
      <c r="B77" s="719"/>
      <c r="C77" s="148">
        <v>2018</v>
      </c>
      <c r="D77" s="722">
        <f t="shared" si="8"/>
        <v>901</v>
      </c>
      <c r="E77" s="722"/>
      <c r="F77" s="721">
        <f t="shared" si="7"/>
        <v>0</v>
      </c>
      <c r="G77" s="721"/>
      <c r="H77" s="721">
        <v>0</v>
      </c>
      <c r="I77" s="724">
        <v>901</v>
      </c>
      <c r="J77" s="721"/>
      <c r="K77" s="718" t="s">
        <v>439</v>
      </c>
      <c r="L77" s="706"/>
    </row>
    <row r="78" spans="1:12" ht="18" customHeight="1">
      <c r="A78" s="697"/>
      <c r="B78" s="719"/>
      <c r="C78" s="148">
        <v>2019</v>
      </c>
      <c r="D78" s="725">
        <f t="shared" si="8"/>
        <v>3296.36711</v>
      </c>
      <c r="E78" s="722"/>
      <c r="F78" s="721">
        <f t="shared" si="7"/>
        <v>0</v>
      </c>
      <c r="G78" s="721"/>
      <c r="H78" s="721">
        <v>0</v>
      </c>
      <c r="I78" s="724">
        <v>1424.61511</v>
      </c>
      <c r="J78" s="721">
        <v>1871.752</v>
      </c>
      <c r="K78" s="294" t="s">
        <v>429</v>
      </c>
      <c r="L78" s="706"/>
    </row>
    <row r="79" spans="1:12" ht="18" customHeight="1">
      <c r="A79" s="697"/>
      <c r="B79" s="719"/>
      <c r="C79" s="148"/>
      <c r="D79" s="725">
        <f t="shared" si="8"/>
        <v>1324.966</v>
      </c>
      <c r="E79" s="722"/>
      <c r="F79" s="721">
        <f t="shared" si="7"/>
        <v>0</v>
      </c>
      <c r="G79" s="721"/>
      <c r="H79" s="721">
        <v>0</v>
      </c>
      <c r="I79" s="723">
        <v>589.421</v>
      </c>
      <c r="J79" s="721">
        <v>735.545</v>
      </c>
      <c r="K79" s="294" t="s">
        <v>431</v>
      </c>
      <c r="L79" s="706"/>
    </row>
    <row r="80" spans="1:12" ht="18" customHeight="1">
      <c r="A80" s="697"/>
      <c r="B80" s="719"/>
      <c r="C80" s="148">
        <v>2020</v>
      </c>
      <c r="D80" s="722">
        <f t="shared" si="8"/>
        <v>1098.73</v>
      </c>
      <c r="E80" s="722"/>
      <c r="F80" s="721">
        <f t="shared" si="7"/>
        <v>0</v>
      </c>
      <c r="G80" s="721"/>
      <c r="H80" s="721">
        <v>0</v>
      </c>
      <c r="I80" s="723">
        <f>1038.715+0.015+60</f>
        <v>1098.73</v>
      </c>
      <c r="J80" s="721"/>
      <c r="K80" s="294" t="s">
        <v>429</v>
      </c>
      <c r="L80" s="706"/>
    </row>
    <row r="81" spans="1:12" ht="18" customHeight="1">
      <c r="A81" s="697"/>
      <c r="B81" s="719"/>
      <c r="C81" s="148"/>
      <c r="D81" s="722">
        <f t="shared" si="8"/>
        <v>595.17</v>
      </c>
      <c r="E81" s="722"/>
      <c r="F81" s="721">
        <f t="shared" si="7"/>
        <v>0</v>
      </c>
      <c r="G81" s="721"/>
      <c r="H81" s="721">
        <v>0</v>
      </c>
      <c r="I81" s="724">
        <f>355.169+0.001+300-60</f>
        <v>595.17</v>
      </c>
      <c r="J81" s="721"/>
      <c r="K81" s="294" t="s">
        <v>431</v>
      </c>
      <c r="L81" s="706"/>
    </row>
    <row r="82" spans="1:12" ht="18" customHeight="1">
      <c r="A82" s="697"/>
      <c r="B82" s="719"/>
      <c r="C82" s="148">
        <v>2021</v>
      </c>
      <c r="D82" s="722">
        <f t="shared" si="8"/>
        <v>1703.81</v>
      </c>
      <c r="E82" s="722"/>
      <c r="F82" s="721">
        <f t="shared" si="7"/>
        <v>0</v>
      </c>
      <c r="G82" s="721"/>
      <c r="H82" s="721">
        <v>0</v>
      </c>
      <c r="I82" s="726">
        <v>1703.81</v>
      </c>
      <c r="J82" s="721"/>
      <c r="K82" s="294" t="s">
        <v>429</v>
      </c>
      <c r="L82" s="706"/>
    </row>
    <row r="83" spans="1:12" ht="18" customHeight="1">
      <c r="A83" s="697"/>
      <c r="B83" s="719"/>
      <c r="C83" s="148"/>
      <c r="D83" s="722">
        <f t="shared" si="8"/>
        <v>1016.799</v>
      </c>
      <c r="E83" s="722"/>
      <c r="F83" s="721">
        <f t="shared" si="7"/>
        <v>0</v>
      </c>
      <c r="G83" s="721"/>
      <c r="H83" s="721">
        <v>0</v>
      </c>
      <c r="I83" s="723">
        <v>1016.799</v>
      </c>
      <c r="J83" s="721"/>
      <c r="K83" s="294" t="s">
        <v>431</v>
      </c>
      <c r="L83" s="706"/>
    </row>
    <row r="84" spans="1:12" ht="18" customHeight="1">
      <c r="A84" s="697"/>
      <c r="B84" s="719"/>
      <c r="C84" s="148">
        <v>2022</v>
      </c>
      <c r="D84" s="722">
        <f t="shared" si="8"/>
        <v>2353.812</v>
      </c>
      <c r="E84" s="722"/>
      <c r="F84" s="721">
        <f t="shared" si="7"/>
        <v>0</v>
      </c>
      <c r="G84" s="721"/>
      <c r="H84" s="721">
        <v>0</v>
      </c>
      <c r="I84" s="724">
        <v>2353.812</v>
      </c>
      <c r="J84" s="721"/>
      <c r="K84" s="294" t="s">
        <v>429</v>
      </c>
      <c r="L84" s="706"/>
    </row>
    <row r="85" spans="1:12" ht="18" customHeight="1">
      <c r="A85" s="697"/>
      <c r="B85" s="719"/>
      <c r="C85" s="148"/>
      <c r="D85" s="722">
        <f t="shared" si="8"/>
        <v>1030.646</v>
      </c>
      <c r="E85" s="722"/>
      <c r="F85" s="721">
        <f t="shared" si="7"/>
        <v>0</v>
      </c>
      <c r="G85" s="721"/>
      <c r="H85" s="721">
        <v>0</v>
      </c>
      <c r="I85" s="724">
        <v>1030.646</v>
      </c>
      <c r="J85" s="721"/>
      <c r="K85" s="294" t="s">
        <v>431</v>
      </c>
      <c r="L85" s="706"/>
    </row>
    <row r="86" spans="1:12" ht="18" customHeight="1">
      <c r="A86" s="697"/>
      <c r="B86" s="719"/>
      <c r="C86" s="148">
        <v>2023</v>
      </c>
      <c r="D86" s="722">
        <f t="shared" si="8"/>
        <v>2051.81</v>
      </c>
      <c r="E86" s="722"/>
      <c r="F86" s="721">
        <f t="shared" si="7"/>
        <v>0</v>
      </c>
      <c r="G86" s="721"/>
      <c r="H86" s="721">
        <v>0</v>
      </c>
      <c r="I86" s="724">
        <v>2051.81</v>
      </c>
      <c r="J86" s="721"/>
      <c r="K86" s="294" t="s">
        <v>429</v>
      </c>
      <c r="L86" s="706"/>
    </row>
    <row r="87" spans="1:12" ht="18" customHeight="1">
      <c r="A87" s="697"/>
      <c r="B87" s="719"/>
      <c r="C87" s="148"/>
      <c r="D87" s="722">
        <f t="shared" si="8"/>
        <v>1613.19</v>
      </c>
      <c r="E87" s="722"/>
      <c r="F87" s="721">
        <f t="shared" si="7"/>
        <v>0</v>
      </c>
      <c r="G87" s="721"/>
      <c r="H87" s="721">
        <v>0</v>
      </c>
      <c r="I87" s="724">
        <v>1613.19</v>
      </c>
      <c r="J87" s="721"/>
      <c r="K87" s="294" t="s">
        <v>431</v>
      </c>
      <c r="L87" s="706"/>
    </row>
    <row r="88" spans="1:12" ht="18" customHeight="1">
      <c r="A88" s="697"/>
      <c r="B88" s="719"/>
      <c r="C88" s="148">
        <v>2024</v>
      </c>
      <c r="D88" s="722">
        <f t="shared" si="8"/>
        <v>2215.2</v>
      </c>
      <c r="E88" s="722"/>
      <c r="F88" s="721">
        <f t="shared" si="7"/>
        <v>0</v>
      </c>
      <c r="G88" s="721"/>
      <c r="H88" s="721">
        <v>0</v>
      </c>
      <c r="I88" s="724">
        <v>2215.2</v>
      </c>
      <c r="J88" s="721"/>
      <c r="K88" s="294" t="s">
        <v>429</v>
      </c>
      <c r="L88" s="706"/>
    </row>
    <row r="89" spans="1:12" ht="18" customHeight="1">
      <c r="A89" s="697"/>
      <c r="B89" s="719"/>
      <c r="C89" s="148"/>
      <c r="D89" s="722">
        <f t="shared" si="8"/>
        <v>1467.3</v>
      </c>
      <c r="E89" s="722"/>
      <c r="F89" s="721">
        <f t="shared" si="7"/>
        <v>0</v>
      </c>
      <c r="G89" s="721"/>
      <c r="H89" s="721">
        <v>0</v>
      </c>
      <c r="I89" s="724">
        <v>1467.3</v>
      </c>
      <c r="J89" s="721"/>
      <c r="K89" s="294" t="s">
        <v>431</v>
      </c>
      <c r="L89" s="706"/>
    </row>
    <row r="90" spans="1:12" ht="18" customHeight="1">
      <c r="A90" s="697"/>
      <c r="B90" s="719"/>
      <c r="C90" s="148">
        <v>2025</v>
      </c>
      <c r="D90" s="722">
        <f t="shared" si="8"/>
        <v>2215.2</v>
      </c>
      <c r="E90" s="722"/>
      <c r="F90" s="721">
        <f t="shared" si="7"/>
        <v>0</v>
      </c>
      <c r="G90" s="721"/>
      <c r="H90" s="721">
        <v>0</v>
      </c>
      <c r="I90" s="724">
        <v>2215.2</v>
      </c>
      <c r="J90" s="721"/>
      <c r="K90" s="294" t="s">
        <v>429</v>
      </c>
      <c r="L90" s="706"/>
    </row>
    <row r="91" spans="1:12" ht="18" customHeight="1">
      <c r="A91" s="697"/>
      <c r="B91" s="719"/>
      <c r="C91" s="148"/>
      <c r="D91" s="722">
        <f t="shared" si="8"/>
        <v>1467.3</v>
      </c>
      <c r="E91" s="722"/>
      <c r="F91" s="721">
        <f t="shared" si="7"/>
        <v>0</v>
      </c>
      <c r="G91" s="721"/>
      <c r="H91" s="721">
        <v>0</v>
      </c>
      <c r="I91" s="724">
        <v>1467.3</v>
      </c>
      <c r="J91" s="721"/>
      <c r="K91" s="294" t="s">
        <v>431</v>
      </c>
      <c r="L91" s="706"/>
    </row>
    <row r="92" spans="1:12" ht="36.75" customHeight="1">
      <c r="A92" s="697" t="s">
        <v>76</v>
      </c>
      <c r="B92" s="78" t="s">
        <v>440</v>
      </c>
      <c r="C92" s="148">
        <v>2017</v>
      </c>
      <c r="D92" s="722">
        <f t="shared" si="8"/>
        <v>447.219</v>
      </c>
      <c r="E92" s="722"/>
      <c r="F92" s="721">
        <f t="shared" si="7"/>
        <v>0</v>
      </c>
      <c r="G92" s="726"/>
      <c r="H92" s="721">
        <v>0</v>
      </c>
      <c r="I92" s="723">
        <v>447.219</v>
      </c>
      <c r="J92" s="721"/>
      <c r="K92" s="718" t="s">
        <v>62</v>
      </c>
      <c r="L92" s="706"/>
    </row>
    <row r="93" spans="1:12" ht="19.5" customHeight="1">
      <c r="A93" s="697"/>
      <c r="B93" s="78"/>
      <c r="C93" s="148">
        <v>2018</v>
      </c>
      <c r="D93" s="722">
        <f t="shared" si="8"/>
        <v>41.787</v>
      </c>
      <c r="E93" s="722"/>
      <c r="F93" s="721">
        <f t="shared" si="7"/>
        <v>0</v>
      </c>
      <c r="G93" s="294"/>
      <c r="H93" s="721">
        <v>0</v>
      </c>
      <c r="I93" s="723">
        <f>375-52.195-281.0185</f>
        <v>41.78649999999999</v>
      </c>
      <c r="J93" s="721"/>
      <c r="K93" s="294" t="s">
        <v>429</v>
      </c>
      <c r="L93" s="706"/>
    </row>
    <row r="94" spans="1:12" ht="34.5" customHeight="1">
      <c r="A94" s="697"/>
      <c r="B94" s="78"/>
      <c r="C94" s="148">
        <v>2019</v>
      </c>
      <c r="D94" s="722">
        <f t="shared" si="8"/>
        <v>0</v>
      </c>
      <c r="E94" s="722"/>
      <c r="F94" s="721">
        <f t="shared" si="7"/>
        <v>0</v>
      </c>
      <c r="G94" s="294"/>
      <c r="H94" s="721">
        <v>0</v>
      </c>
      <c r="I94" s="723">
        <v>0</v>
      </c>
      <c r="J94" s="721"/>
      <c r="K94" s="718" t="s">
        <v>62</v>
      </c>
      <c r="L94" s="706"/>
    </row>
    <row r="95" spans="1:12" ht="37.5" customHeight="1">
      <c r="A95" s="697"/>
      <c r="B95" s="78"/>
      <c r="C95" s="148">
        <v>2020</v>
      </c>
      <c r="D95" s="722">
        <f t="shared" si="8"/>
        <v>0</v>
      </c>
      <c r="E95" s="722"/>
      <c r="F95" s="721">
        <f t="shared" si="7"/>
        <v>0</v>
      </c>
      <c r="G95" s="294"/>
      <c r="H95" s="721">
        <v>0</v>
      </c>
      <c r="I95" s="723">
        <v>0</v>
      </c>
      <c r="J95" s="721"/>
      <c r="K95" s="718" t="s">
        <v>62</v>
      </c>
      <c r="L95" s="706"/>
    </row>
    <row r="96" spans="1:12" ht="37.5" customHeight="1">
      <c r="A96" s="697"/>
      <c r="B96" s="78"/>
      <c r="C96" s="148">
        <v>2021</v>
      </c>
      <c r="D96" s="722">
        <f t="shared" si="8"/>
        <v>0</v>
      </c>
      <c r="E96" s="722"/>
      <c r="F96" s="721">
        <f t="shared" si="7"/>
        <v>0</v>
      </c>
      <c r="G96" s="294"/>
      <c r="H96" s="721">
        <v>0</v>
      </c>
      <c r="I96" s="723">
        <v>0</v>
      </c>
      <c r="J96" s="721"/>
      <c r="K96" s="718" t="s">
        <v>62</v>
      </c>
      <c r="L96" s="706"/>
    </row>
    <row r="97" spans="1:12" ht="34.5" customHeight="1">
      <c r="A97" s="697"/>
      <c r="B97" s="78"/>
      <c r="C97" s="148">
        <v>2022</v>
      </c>
      <c r="D97" s="722">
        <f t="shared" si="8"/>
        <v>0</v>
      </c>
      <c r="E97" s="722"/>
      <c r="F97" s="721">
        <f t="shared" si="7"/>
        <v>0</v>
      </c>
      <c r="G97" s="294"/>
      <c r="H97" s="721">
        <v>0</v>
      </c>
      <c r="I97" s="723">
        <v>0</v>
      </c>
      <c r="J97" s="721"/>
      <c r="K97" s="718" t="s">
        <v>62</v>
      </c>
      <c r="L97" s="706"/>
    </row>
    <row r="98" spans="1:12" ht="37.5" customHeight="1">
      <c r="A98" s="697"/>
      <c r="B98" s="78"/>
      <c r="C98" s="148">
        <v>2023</v>
      </c>
      <c r="D98" s="722">
        <f t="shared" si="8"/>
        <v>0</v>
      </c>
      <c r="E98" s="722"/>
      <c r="F98" s="721">
        <f t="shared" si="7"/>
        <v>0</v>
      </c>
      <c r="G98" s="294"/>
      <c r="H98" s="721">
        <v>0</v>
      </c>
      <c r="I98" s="723">
        <v>0</v>
      </c>
      <c r="J98" s="721"/>
      <c r="K98" s="718" t="s">
        <v>62</v>
      </c>
      <c r="L98" s="706"/>
    </row>
    <row r="99" spans="1:12" ht="37.5" customHeight="1">
      <c r="A99" s="697"/>
      <c r="B99" s="78"/>
      <c r="C99" s="148">
        <v>2024</v>
      </c>
      <c r="D99" s="722">
        <f t="shared" si="8"/>
        <v>0</v>
      </c>
      <c r="E99" s="722"/>
      <c r="F99" s="721">
        <f t="shared" si="7"/>
        <v>0</v>
      </c>
      <c r="G99" s="294"/>
      <c r="H99" s="721">
        <v>0</v>
      </c>
      <c r="I99" s="723">
        <v>0</v>
      </c>
      <c r="J99" s="721"/>
      <c r="K99" s="718" t="s">
        <v>62</v>
      </c>
      <c r="L99" s="706"/>
    </row>
    <row r="100" spans="1:12" ht="31.5" customHeight="1">
      <c r="A100" s="697"/>
      <c r="B100" s="78"/>
      <c r="C100" s="148">
        <v>2025</v>
      </c>
      <c r="D100" s="722">
        <f t="shared" si="8"/>
        <v>0</v>
      </c>
      <c r="E100" s="722"/>
      <c r="F100" s="721">
        <f t="shared" si="7"/>
        <v>0</v>
      </c>
      <c r="G100" s="294"/>
      <c r="H100" s="721">
        <v>0</v>
      </c>
      <c r="I100" s="723">
        <v>0</v>
      </c>
      <c r="J100" s="721"/>
      <c r="K100" s="718" t="s">
        <v>62</v>
      </c>
      <c r="L100" s="706"/>
    </row>
    <row r="101" spans="1:12" ht="44.25" customHeight="1">
      <c r="A101" s="697" t="s">
        <v>81</v>
      </c>
      <c r="B101" s="78" t="s">
        <v>441</v>
      </c>
      <c r="C101" s="148">
        <v>2017</v>
      </c>
      <c r="D101" s="722">
        <f t="shared" si="8"/>
        <v>416.493</v>
      </c>
      <c r="E101" s="722"/>
      <c r="F101" s="721">
        <f t="shared" si="7"/>
        <v>0</v>
      </c>
      <c r="G101" s="710"/>
      <c r="H101" s="721">
        <v>0</v>
      </c>
      <c r="I101" s="723">
        <v>416.493</v>
      </c>
      <c r="J101" s="721"/>
      <c r="K101" s="718" t="s">
        <v>62</v>
      </c>
      <c r="L101" s="706" t="s">
        <v>442</v>
      </c>
    </row>
    <row r="102" spans="1:12" ht="22.5" customHeight="1">
      <c r="A102" s="697"/>
      <c r="B102" s="78"/>
      <c r="C102" s="148">
        <v>2018</v>
      </c>
      <c r="D102" s="722">
        <f>E102+E103+F102+F103+I102+I103+J102+J103</f>
        <v>101</v>
      </c>
      <c r="E102" s="722"/>
      <c r="F102" s="721">
        <f t="shared" si="7"/>
        <v>0</v>
      </c>
      <c r="G102" s="710"/>
      <c r="H102" s="721">
        <v>0</v>
      </c>
      <c r="I102" s="723">
        <v>51</v>
      </c>
      <c r="J102" s="721"/>
      <c r="K102" s="294" t="s">
        <v>429</v>
      </c>
      <c r="L102" s="706"/>
    </row>
    <row r="103" spans="1:12" ht="21.75" customHeight="1">
      <c r="A103" s="697"/>
      <c r="B103" s="78"/>
      <c r="C103" s="148"/>
      <c r="D103" s="722"/>
      <c r="E103" s="722"/>
      <c r="F103" s="721">
        <f t="shared" si="7"/>
        <v>0</v>
      </c>
      <c r="G103" s="727"/>
      <c r="H103" s="721">
        <v>0</v>
      </c>
      <c r="I103" s="723">
        <v>50</v>
      </c>
      <c r="J103" s="721"/>
      <c r="K103" s="294" t="s">
        <v>431</v>
      </c>
      <c r="L103" s="706"/>
    </row>
    <row r="104" spans="1:12" ht="22.5" customHeight="1">
      <c r="A104" s="697"/>
      <c r="B104" s="78"/>
      <c r="C104" s="148">
        <v>2019</v>
      </c>
      <c r="D104" s="722">
        <f aca="true" t="shared" si="9" ref="D104:D114">E104+F104+I104+J104</f>
        <v>200</v>
      </c>
      <c r="E104" s="722"/>
      <c r="F104" s="721">
        <f t="shared" si="7"/>
        <v>0</v>
      </c>
      <c r="G104" s="314"/>
      <c r="H104" s="721">
        <v>0</v>
      </c>
      <c r="I104" s="723">
        <v>200</v>
      </c>
      <c r="J104" s="721"/>
      <c r="K104" s="728" t="s">
        <v>443</v>
      </c>
      <c r="L104" s="706"/>
    </row>
    <row r="105" spans="1:12" ht="22.5" customHeight="1">
      <c r="A105" s="697"/>
      <c r="B105" s="78"/>
      <c r="C105" s="106">
        <v>2020</v>
      </c>
      <c r="D105" s="729">
        <f t="shared" si="9"/>
        <v>200</v>
      </c>
      <c r="E105" s="730"/>
      <c r="F105" s="731">
        <f t="shared" si="7"/>
        <v>0</v>
      </c>
      <c r="G105" s="732"/>
      <c r="H105" s="721">
        <v>0</v>
      </c>
      <c r="I105" s="733">
        <v>200</v>
      </c>
      <c r="J105" s="734"/>
      <c r="K105" s="728"/>
      <c r="L105" s="706"/>
    </row>
    <row r="106" spans="1:12" ht="22.5" customHeight="1">
      <c r="A106" s="697"/>
      <c r="B106" s="78"/>
      <c r="C106" s="148">
        <v>2021</v>
      </c>
      <c r="D106" s="735">
        <f t="shared" si="9"/>
        <v>200</v>
      </c>
      <c r="E106" s="131"/>
      <c r="F106" s="736">
        <f t="shared" si="7"/>
        <v>0</v>
      </c>
      <c r="G106" s="737"/>
      <c r="H106" s="721">
        <v>0</v>
      </c>
      <c r="I106" s="723">
        <v>200</v>
      </c>
      <c r="J106" s="738"/>
      <c r="K106" s="728"/>
      <c r="L106" s="706"/>
    </row>
    <row r="107" spans="1:12" ht="24" customHeight="1">
      <c r="A107" s="697"/>
      <c r="B107" s="78"/>
      <c r="C107" s="148">
        <v>2022</v>
      </c>
      <c r="D107" s="735">
        <f t="shared" si="9"/>
        <v>200</v>
      </c>
      <c r="E107" s="131"/>
      <c r="F107" s="736">
        <f t="shared" si="7"/>
        <v>0</v>
      </c>
      <c r="G107" s="737"/>
      <c r="H107" s="721">
        <v>0</v>
      </c>
      <c r="I107" s="723">
        <v>200</v>
      </c>
      <c r="J107" s="738"/>
      <c r="K107" s="728" t="s">
        <v>443</v>
      </c>
      <c r="L107" s="706"/>
    </row>
    <row r="108" spans="1:12" ht="24" customHeight="1">
      <c r="A108" s="697"/>
      <c r="B108" s="78"/>
      <c r="C108" s="148">
        <v>2023</v>
      </c>
      <c r="D108" s="735">
        <f t="shared" si="9"/>
        <v>200</v>
      </c>
      <c r="E108" s="131"/>
      <c r="F108" s="736">
        <f t="shared" si="7"/>
        <v>0</v>
      </c>
      <c r="G108" s="737"/>
      <c r="H108" s="721">
        <v>0</v>
      </c>
      <c r="I108" s="723">
        <v>200</v>
      </c>
      <c r="J108" s="738"/>
      <c r="K108" s="728"/>
      <c r="L108" s="706"/>
    </row>
    <row r="109" spans="1:12" ht="22.5" customHeight="1">
      <c r="A109" s="697"/>
      <c r="B109" s="78"/>
      <c r="C109" s="148">
        <v>2024</v>
      </c>
      <c r="D109" s="735">
        <f t="shared" si="9"/>
        <v>200</v>
      </c>
      <c r="E109" s="131"/>
      <c r="F109" s="736">
        <f t="shared" si="7"/>
        <v>0</v>
      </c>
      <c r="G109" s="737"/>
      <c r="H109" s="721">
        <v>0</v>
      </c>
      <c r="I109" s="723">
        <v>200</v>
      </c>
      <c r="J109" s="738"/>
      <c r="K109" s="728"/>
      <c r="L109" s="706"/>
    </row>
    <row r="110" spans="1:12" ht="22.5" customHeight="1">
      <c r="A110" s="697"/>
      <c r="B110" s="78"/>
      <c r="C110" s="148">
        <v>2025</v>
      </c>
      <c r="D110" s="735">
        <f t="shared" si="9"/>
        <v>200</v>
      </c>
      <c r="E110" s="131"/>
      <c r="F110" s="736">
        <f t="shared" si="7"/>
        <v>0</v>
      </c>
      <c r="G110" s="737"/>
      <c r="H110" s="721">
        <v>0</v>
      </c>
      <c r="I110" s="723">
        <v>200</v>
      </c>
      <c r="J110" s="738"/>
      <c r="K110" s="728"/>
      <c r="L110" s="706"/>
    </row>
    <row r="111" spans="1:12" ht="83.25" customHeight="1">
      <c r="A111" s="697" t="s">
        <v>84</v>
      </c>
      <c r="B111" s="325" t="s">
        <v>444</v>
      </c>
      <c r="C111" s="148">
        <v>2021</v>
      </c>
      <c r="D111" s="735">
        <f t="shared" si="9"/>
        <v>16.7</v>
      </c>
      <c r="E111" s="131"/>
      <c r="F111" s="736">
        <f t="shared" si="7"/>
        <v>0</v>
      </c>
      <c r="G111" s="737"/>
      <c r="H111" s="721">
        <v>0</v>
      </c>
      <c r="I111" s="723">
        <v>16.7</v>
      </c>
      <c r="J111" s="738"/>
      <c r="K111" s="294" t="s">
        <v>429</v>
      </c>
      <c r="L111" s="706"/>
    </row>
    <row r="112" spans="1:12" ht="79.5" customHeight="1">
      <c r="A112" s="697"/>
      <c r="B112" s="325" t="s">
        <v>445</v>
      </c>
      <c r="C112" s="148"/>
      <c r="D112" s="735">
        <f t="shared" si="9"/>
        <v>134.987</v>
      </c>
      <c r="E112" s="131"/>
      <c r="F112" s="736">
        <f t="shared" si="7"/>
        <v>0</v>
      </c>
      <c r="G112" s="737"/>
      <c r="H112" s="721">
        <v>0</v>
      </c>
      <c r="I112" s="723">
        <v>134.987</v>
      </c>
      <c r="J112" s="738"/>
      <c r="K112" s="294" t="s">
        <v>429</v>
      </c>
      <c r="L112" s="706"/>
    </row>
    <row r="113" spans="1:12" ht="19.5" customHeight="1">
      <c r="A113" s="697"/>
      <c r="B113" s="106" t="s">
        <v>141</v>
      </c>
      <c r="C113" s="739">
        <v>2017</v>
      </c>
      <c r="D113" s="733">
        <f t="shared" si="9"/>
        <v>4979.718</v>
      </c>
      <c r="E113" s="733"/>
      <c r="F113" s="733">
        <f t="shared" si="7"/>
        <v>2078</v>
      </c>
      <c r="G113" s="733">
        <f>G34+G92+G101</f>
        <v>0</v>
      </c>
      <c r="H113" s="733">
        <f>H34+H92+H101</f>
        <v>2078</v>
      </c>
      <c r="I113" s="733">
        <f>I34+I92+I101</f>
        <v>2901.718</v>
      </c>
      <c r="J113" s="733">
        <f>J34+J92+J101</f>
        <v>0</v>
      </c>
      <c r="K113" s="740"/>
      <c r="L113" s="741"/>
    </row>
    <row r="114" spans="1:12" ht="19.5" customHeight="1">
      <c r="A114" s="697"/>
      <c r="B114" s="106"/>
      <c r="C114" s="739">
        <v>2018</v>
      </c>
      <c r="D114" s="733">
        <f t="shared" si="9"/>
        <v>4613.378500000001</v>
      </c>
      <c r="E114" s="733"/>
      <c r="F114" s="733">
        <f t="shared" si="7"/>
        <v>2215</v>
      </c>
      <c r="G114" s="733">
        <f>G35+G93+G102+G103</f>
        <v>0</v>
      </c>
      <c r="H114" s="733">
        <f>H35+H93+H102+H103</f>
        <v>2215</v>
      </c>
      <c r="I114" s="733">
        <f>I35+I93+I102+I103</f>
        <v>2398.3785000000003</v>
      </c>
      <c r="J114" s="733">
        <f>J35+J93+J102+J103</f>
        <v>0</v>
      </c>
      <c r="K114" s="314"/>
      <c r="L114" s="741"/>
    </row>
    <row r="115" spans="1:12" ht="19.5" customHeight="1">
      <c r="A115" s="697"/>
      <c r="B115" s="106"/>
      <c r="C115" s="739">
        <v>2019</v>
      </c>
      <c r="D115" s="733">
        <f>D104+D94+D36</f>
        <v>8985.133109999999</v>
      </c>
      <c r="E115" s="733">
        <f>E104+E94+E36</f>
        <v>0</v>
      </c>
      <c r="F115" s="733">
        <f>F104+F94+F36</f>
        <v>2292</v>
      </c>
      <c r="G115" s="733">
        <f>G104+G94+G36</f>
        <v>0</v>
      </c>
      <c r="H115" s="733">
        <f>H104+H94+H36</f>
        <v>2292</v>
      </c>
      <c r="I115" s="733">
        <f>I104+I94+I36</f>
        <v>4085.83611</v>
      </c>
      <c r="J115" s="733">
        <f>J104+J94+J36</f>
        <v>2607.297</v>
      </c>
      <c r="K115" s="314"/>
      <c r="L115" s="741"/>
    </row>
    <row r="116" spans="1:12" ht="19.5" customHeight="1">
      <c r="A116" s="697"/>
      <c r="B116" s="106"/>
      <c r="C116" s="739">
        <v>2020</v>
      </c>
      <c r="D116" s="733">
        <f>D16+D37+D95+D105</f>
        <v>9845.400000000001</v>
      </c>
      <c r="E116" s="733">
        <f>E16+E37+E95+E105</f>
        <v>0</v>
      </c>
      <c r="F116" s="733">
        <f>F16+F37+F95+F105</f>
        <v>5924.2</v>
      </c>
      <c r="G116" s="733">
        <f>G16+G37+G95+G105</f>
        <v>3250</v>
      </c>
      <c r="H116" s="733">
        <f>H16+H37+H95+H105</f>
        <v>2674.2</v>
      </c>
      <c r="I116" s="733">
        <f>I16+I37+I95+I105</f>
        <v>3921.2000000000003</v>
      </c>
      <c r="J116" s="733">
        <f>J16+J37</f>
        <v>0</v>
      </c>
      <c r="K116" s="314"/>
      <c r="L116" s="741"/>
    </row>
    <row r="117" spans="1:16" ht="19.5" customHeight="1">
      <c r="A117" s="697"/>
      <c r="B117" s="106"/>
      <c r="C117" s="739">
        <v>2021</v>
      </c>
      <c r="D117" s="733">
        <f>D19+D38+D111+D112</f>
        <v>11581.396</v>
      </c>
      <c r="E117" s="733">
        <f>E19+E38+E111+E112</f>
        <v>0</v>
      </c>
      <c r="F117" s="733">
        <f>F19+F38+F111+F112</f>
        <v>8275.1</v>
      </c>
      <c r="G117" s="733">
        <f>G19+G38+G111+G112</f>
        <v>8041.1</v>
      </c>
      <c r="H117" s="733">
        <f>H19+H38+H111+H112</f>
        <v>234</v>
      </c>
      <c r="I117" s="733">
        <f>I19+I38+I111+I112</f>
        <v>3306.296</v>
      </c>
      <c r="J117" s="733">
        <f>J19+J38+J111+J112</f>
        <v>0</v>
      </c>
      <c r="K117" s="314"/>
      <c r="L117" s="741"/>
      <c r="P117" s="742"/>
    </row>
    <row r="118" spans="1:14" ht="19.5" customHeight="1">
      <c r="A118" s="697"/>
      <c r="B118" s="106"/>
      <c r="C118" s="739">
        <v>2022</v>
      </c>
      <c r="D118" s="733">
        <f>D39+D22</f>
        <v>12780.858</v>
      </c>
      <c r="E118" s="733">
        <f>E39+E22</f>
        <v>0</v>
      </c>
      <c r="F118" s="733">
        <f>F39+F22</f>
        <v>8644.6</v>
      </c>
      <c r="G118" s="733">
        <f>G39+G22</f>
        <v>8092.799999999999</v>
      </c>
      <c r="H118" s="733">
        <f>H39+H22</f>
        <v>551.8</v>
      </c>
      <c r="I118" s="733">
        <f>I39+I22</f>
        <v>4136.258</v>
      </c>
      <c r="J118" s="733">
        <f>J39+J22</f>
        <v>0</v>
      </c>
      <c r="K118" s="314"/>
      <c r="L118" s="741"/>
      <c r="N118" s="742"/>
    </row>
    <row r="119" spans="1:12" ht="19.5" customHeight="1">
      <c r="A119" s="697"/>
      <c r="B119" s="106"/>
      <c r="C119" s="739">
        <v>2023</v>
      </c>
      <c r="D119" s="733">
        <f>D25+D40+D98+D108</f>
        <v>13560.400000000001</v>
      </c>
      <c r="E119" s="733">
        <f>E25+E40+E98+E108</f>
        <v>0</v>
      </c>
      <c r="F119" s="733">
        <f>F25+F40+F98+F108</f>
        <v>9113.7</v>
      </c>
      <c r="G119" s="733">
        <f>G25+G40+G98+G108</f>
        <v>8532</v>
      </c>
      <c r="H119" s="733">
        <f>H25+H40+H98+H108</f>
        <v>581.7</v>
      </c>
      <c r="I119" s="733">
        <f>I25+I40+I108</f>
        <v>4446.7</v>
      </c>
      <c r="J119" s="733">
        <f>J25+J40+J98+J108</f>
        <v>0</v>
      </c>
      <c r="K119" s="314"/>
      <c r="L119" s="741"/>
    </row>
    <row r="120" spans="1:12" ht="19.5" customHeight="1">
      <c r="A120" s="697"/>
      <c r="B120" s="106"/>
      <c r="C120" s="739">
        <v>2024</v>
      </c>
      <c r="D120" s="733">
        <f>D28+D41+D99+D109</f>
        <v>13318.300000000001</v>
      </c>
      <c r="E120" s="733">
        <f>E28+E41+E99+E109</f>
        <v>0</v>
      </c>
      <c r="F120" s="733">
        <f>F28+F41+F99+F109</f>
        <v>8869.6</v>
      </c>
      <c r="G120" s="733">
        <f>G28+G41+G99+G109</f>
        <v>8303.4</v>
      </c>
      <c r="H120" s="733">
        <f>H28+H41+H99+H109</f>
        <v>566.2</v>
      </c>
      <c r="I120" s="733">
        <f>I28+I41+I99+I109</f>
        <v>4448.7</v>
      </c>
      <c r="J120" s="733">
        <f>J28+J41+J99+J109</f>
        <v>0</v>
      </c>
      <c r="K120" s="314"/>
      <c r="L120" s="741"/>
    </row>
    <row r="121" spans="1:12" ht="19.5" customHeight="1">
      <c r="A121" s="697"/>
      <c r="B121" s="106"/>
      <c r="C121" s="739">
        <v>2025</v>
      </c>
      <c r="D121" s="733">
        <f>D31+D42+D100+D110</f>
        <v>13318.300000000001</v>
      </c>
      <c r="E121" s="733">
        <f>E31+E42+E100+E110</f>
        <v>0</v>
      </c>
      <c r="F121" s="733">
        <f>F31+F42+F100+F110</f>
        <v>8869.6</v>
      </c>
      <c r="G121" s="733">
        <f>G31+G42+G100+G110</f>
        <v>8303.4</v>
      </c>
      <c r="H121" s="733">
        <f>H31+H42+H100+H110</f>
        <v>566.2</v>
      </c>
      <c r="I121" s="733">
        <f>I31+I42+I100+I110</f>
        <v>4448.7</v>
      </c>
      <c r="J121" s="733">
        <f>J31+J42+J100+J110</f>
        <v>0</v>
      </c>
      <c r="K121" s="314"/>
      <c r="L121" s="741"/>
    </row>
    <row r="122" spans="1:12" ht="17.25" customHeight="1">
      <c r="A122" s="697"/>
      <c r="B122" s="743" t="s">
        <v>446</v>
      </c>
      <c r="C122" s="743"/>
      <c r="D122" s="743"/>
      <c r="E122" s="743"/>
      <c r="F122" s="743"/>
      <c r="G122" s="743"/>
      <c r="H122" s="743"/>
      <c r="I122" s="743"/>
      <c r="J122" s="743"/>
      <c r="K122" s="743"/>
      <c r="L122" s="743"/>
    </row>
    <row r="123" spans="1:12" ht="18.75" customHeight="1">
      <c r="A123" s="697"/>
      <c r="B123" s="744" t="s">
        <v>447</v>
      </c>
      <c r="C123" s="744"/>
      <c r="D123" s="744"/>
      <c r="E123" s="744"/>
      <c r="F123" s="744"/>
      <c r="G123" s="744"/>
      <c r="H123" s="744"/>
      <c r="I123" s="744"/>
      <c r="J123" s="744"/>
      <c r="K123" s="744"/>
      <c r="L123" s="744"/>
    </row>
    <row r="124" spans="1:12" ht="18.75" customHeight="1">
      <c r="A124" s="697"/>
      <c r="B124" s="745" t="s">
        <v>448</v>
      </c>
      <c r="C124" s="745"/>
      <c r="D124" s="745"/>
      <c r="E124" s="745"/>
      <c r="F124" s="745"/>
      <c r="G124" s="745"/>
      <c r="H124" s="745"/>
      <c r="I124" s="745"/>
      <c r="J124" s="745"/>
      <c r="K124" s="745"/>
      <c r="L124" s="746"/>
    </row>
    <row r="125" spans="1:12" ht="18" customHeight="1">
      <c r="A125" s="697" t="s">
        <v>146</v>
      </c>
      <c r="B125" s="148" t="s">
        <v>449</v>
      </c>
      <c r="C125" s="747">
        <v>2017</v>
      </c>
      <c r="D125" s="725">
        <f>E125+E126+E127+F125+F126+F127+I125+I126+I127+J125+J126+J127</f>
        <v>20778.991</v>
      </c>
      <c r="E125" s="722"/>
      <c r="F125" s="722">
        <f aca="true" t="shared" si="10" ref="F125:F148">G125+H125</f>
        <v>0</v>
      </c>
      <c r="G125" s="148"/>
      <c r="H125" s="722"/>
      <c r="I125" s="748">
        <v>662.636</v>
      </c>
      <c r="J125" s="722">
        <v>4584.05</v>
      </c>
      <c r="K125" s="749" t="s">
        <v>450</v>
      </c>
      <c r="L125" s="706" t="s">
        <v>451</v>
      </c>
    </row>
    <row r="126" spans="1:12" ht="18" customHeight="1">
      <c r="A126" s="697"/>
      <c r="B126" s="148"/>
      <c r="C126" s="747"/>
      <c r="D126" s="725"/>
      <c r="E126" s="722"/>
      <c r="F126" s="722">
        <f t="shared" si="10"/>
        <v>0</v>
      </c>
      <c r="G126" s="148"/>
      <c r="H126" s="722"/>
      <c r="I126" s="748">
        <v>1051.935</v>
      </c>
      <c r="J126" s="722">
        <v>9066.95</v>
      </c>
      <c r="K126" s="749" t="s">
        <v>452</v>
      </c>
      <c r="L126" s="706"/>
    </row>
    <row r="127" spans="1:12" ht="18" customHeight="1">
      <c r="A127" s="697"/>
      <c r="B127" s="148"/>
      <c r="C127" s="747"/>
      <c r="D127" s="725"/>
      <c r="E127" s="722"/>
      <c r="F127" s="722">
        <f t="shared" si="10"/>
        <v>0</v>
      </c>
      <c r="G127" s="148"/>
      <c r="H127" s="722"/>
      <c r="I127" s="748">
        <v>623.5</v>
      </c>
      <c r="J127" s="722">
        <v>4789.92</v>
      </c>
      <c r="K127" s="749" t="s">
        <v>453</v>
      </c>
      <c r="L127" s="706"/>
    </row>
    <row r="128" spans="1:12" ht="18" customHeight="1">
      <c r="A128" s="697"/>
      <c r="B128" s="148"/>
      <c r="C128" s="747">
        <v>2018</v>
      </c>
      <c r="D128" s="725">
        <f>E128+E129+E130+F128+F129+F130+I128+I129+I130+J128+J129+J130</f>
        <v>22710.704</v>
      </c>
      <c r="E128" s="722"/>
      <c r="F128" s="722">
        <f t="shared" si="10"/>
        <v>0</v>
      </c>
      <c r="G128" s="148"/>
      <c r="H128" s="148"/>
      <c r="I128" s="748">
        <v>673</v>
      </c>
      <c r="J128" s="722">
        <v>5063.113</v>
      </c>
      <c r="K128" s="749" t="s">
        <v>450</v>
      </c>
      <c r="L128" s="706"/>
    </row>
    <row r="129" spans="1:12" ht="18" customHeight="1">
      <c r="A129" s="697"/>
      <c r="B129" s="148"/>
      <c r="C129" s="747"/>
      <c r="D129" s="725"/>
      <c r="E129" s="722"/>
      <c r="F129" s="722">
        <f t="shared" si="10"/>
        <v>0</v>
      </c>
      <c r="G129" s="148"/>
      <c r="H129" s="148"/>
      <c r="I129" s="748">
        <v>1043</v>
      </c>
      <c r="J129" s="722">
        <v>9931.528</v>
      </c>
      <c r="K129" s="749" t="s">
        <v>452</v>
      </c>
      <c r="L129" s="706"/>
    </row>
    <row r="130" spans="1:12" ht="18" customHeight="1">
      <c r="A130" s="697"/>
      <c r="B130" s="148"/>
      <c r="C130" s="747"/>
      <c r="D130" s="725"/>
      <c r="E130" s="722"/>
      <c r="F130" s="722">
        <f t="shared" si="10"/>
        <v>0</v>
      </c>
      <c r="G130" s="148"/>
      <c r="H130" s="148"/>
      <c r="I130" s="748">
        <f>587-16.475</f>
        <v>570.525</v>
      </c>
      <c r="J130" s="722">
        <v>5429.538</v>
      </c>
      <c r="K130" s="749" t="s">
        <v>453</v>
      </c>
      <c r="L130" s="706"/>
    </row>
    <row r="131" spans="1:12" ht="18" customHeight="1">
      <c r="A131" s="697"/>
      <c r="B131" s="148"/>
      <c r="C131" s="747">
        <v>2019</v>
      </c>
      <c r="D131" s="725">
        <f>E131+E132+E133+F131+F132+F133+I131+I132+I133+J131+J132+J133</f>
        <v>23935.088</v>
      </c>
      <c r="E131" s="722"/>
      <c r="F131" s="722">
        <f t="shared" si="10"/>
        <v>0</v>
      </c>
      <c r="G131" s="148"/>
      <c r="H131" s="148"/>
      <c r="I131" s="748">
        <v>804.96</v>
      </c>
      <c r="J131" s="722">
        <v>4896.64</v>
      </c>
      <c r="K131" s="749" t="s">
        <v>450</v>
      </c>
      <c r="L131" s="706"/>
    </row>
    <row r="132" spans="1:12" ht="18" customHeight="1">
      <c r="A132" s="697"/>
      <c r="B132" s="148"/>
      <c r="C132" s="747"/>
      <c r="D132" s="725"/>
      <c r="E132" s="722"/>
      <c r="F132" s="722">
        <f t="shared" si="10"/>
        <v>0</v>
      </c>
      <c r="G132" s="148"/>
      <c r="H132" s="148"/>
      <c r="I132" s="748">
        <f>1542.84+6.49-40</f>
        <v>1509.33</v>
      </c>
      <c r="J132" s="722">
        <v>9726.675</v>
      </c>
      <c r="K132" s="749" t="s">
        <v>452</v>
      </c>
      <c r="L132" s="706"/>
    </row>
    <row r="133" spans="1:12" ht="18" customHeight="1">
      <c r="A133" s="697"/>
      <c r="B133" s="148"/>
      <c r="C133" s="747"/>
      <c r="D133" s="725"/>
      <c r="E133" s="722"/>
      <c r="F133" s="722">
        <f t="shared" si="10"/>
        <v>0</v>
      </c>
      <c r="G133" s="148"/>
      <c r="H133" s="148"/>
      <c r="I133" s="748">
        <v>995.02</v>
      </c>
      <c r="J133" s="722">
        <v>6002.463</v>
      </c>
      <c r="K133" s="749" t="s">
        <v>453</v>
      </c>
      <c r="L133" s="706"/>
    </row>
    <row r="134" spans="1:12" ht="18" customHeight="1">
      <c r="A134" s="697"/>
      <c r="B134" s="148"/>
      <c r="C134" s="747">
        <v>2020</v>
      </c>
      <c r="D134" s="725">
        <f>E134+E135+E136+F134+F135+F136+I134+I135+I136+J134+J135+J136</f>
        <v>25204.21</v>
      </c>
      <c r="E134" s="722"/>
      <c r="F134" s="722">
        <f t="shared" si="10"/>
        <v>0</v>
      </c>
      <c r="G134" s="148"/>
      <c r="H134" s="148"/>
      <c r="I134" s="748">
        <f>804.96-200+50</f>
        <v>654.96</v>
      </c>
      <c r="J134" s="722">
        <v>5496.4</v>
      </c>
      <c r="K134" s="749" t="s">
        <v>450</v>
      </c>
      <c r="L134" s="706"/>
    </row>
    <row r="135" spans="1:12" ht="18" customHeight="1">
      <c r="A135" s="697"/>
      <c r="B135" s="148"/>
      <c r="C135" s="747"/>
      <c r="D135" s="725"/>
      <c r="E135" s="722"/>
      <c r="F135" s="722">
        <f t="shared" si="10"/>
        <v>0</v>
      </c>
      <c r="G135" s="148"/>
      <c r="H135" s="148"/>
      <c r="I135" s="748">
        <f>1542.84+6.49-300-50</f>
        <v>1199.33</v>
      </c>
      <c r="J135" s="722">
        <v>10512.9</v>
      </c>
      <c r="K135" s="749" t="s">
        <v>452</v>
      </c>
      <c r="L135" s="706"/>
    </row>
    <row r="136" spans="1:12" ht="18" customHeight="1">
      <c r="A136" s="697"/>
      <c r="B136" s="148"/>
      <c r="C136" s="747"/>
      <c r="D136" s="725"/>
      <c r="E136" s="722"/>
      <c r="F136" s="722">
        <f t="shared" si="10"/>
        <v>0</v>
      </c>
      <c r="G136" s="148"/>
      <c r="H136" s="148"/>
      <c r="I136" s="748">
        <f>995.02-200</f>
        <v>795.02</v>
      </c>
      <c r="J136" s="722">
        <v>6545.6</v>
      </c>
      <c r="K136" s="749" t="s">
        <v>453</v>
      </c>
      <c r="L136" s="706"/>
    </row>
    <row r="137" spans="1:12" ht="18" customHeight="1">
      <c r="A137" s="697"/>
      <c r="B137" s="148"/>
      <c r="C137" s="747">
        <v>2021</v>
      </c>
      <c r="D137" s="725">
        <f>E137+E138+E139+F137+F138+F139+I137+I138+I139+J137+J138+J139</f>
        <v>24256.04706</v>
      </c>
      <c r="E137" s="722"/>
      <c r="F137" s="722">
        <f t="shared" si="10"/>
        <v>0</v>
      </c>
      <c r="G137" s="148"/>
      <c r="H137" s="148"/>
      <c r="I137" s="748">
        <v>1156.941</v>
      </c>
      <c r="J137" s="722">
        <v>4896.64</v>
      </c>
      <c r="K137" s="749" t="s">
        <v>450</v>
      </c>
      <c r="L137" s="706"/>
    </row>
    <row r="138" spans="1:12" ht="18" customHeight="1">
      <c r="A138" s="697"/>
      <c r="B138" s="148"/>
      <c r="C138" s="747"/>
      <c r="D138" s="725"/>
      <c r="E138" s="722"/>
      <c r="F138" s="722">
        <f t="shared" si="10"/>
        <v>0</v>
      </c>
      <c r="G138" s="148"/>
      <c r="H138" s="148"/>
      <c r="I138" s="725">
        <v>1550.37506</v>
      </c>
      <c r="J138" s="722">
        <v>9726.675</v>
      </c>
      <c r="K138" s="749" t="s">
        <v>452</v>
      </c>
      <c r="L138" s="706"/>
    </row>
    <row r="139" spans="1:12" ht="18" customHeight="1">
      <c r="A139" s="697"/>
      <c r="B139" s="148"/>
      <c r="C139" s="747"/>
      <c r="D139" s="725"/>
      <c r="E139" s="722"/>
      <c r="F139" s="722">
        <f t="shared" si="10"/>
        <v>0</v>
      </c>
      <c r="G139" s="148"/>
      <c r="H139" s="148"/>
      <c r="I139" s="748">
        <v>922.953</v>
      </c>
      <c r="J139" s="722">
        <v>6002.463</v>
      </c>
      <c r="K139" s="749" t="s">
        <v>453</v>
      </c>
      <c r="L139" s="706"/>
    </row>
    <row r="140" spans="1:12" ht="18" customHeight="1">
      <c r="A140" s="697"/>
      <c r="B140" s="148"/>
      <c r="C140" s="747">
        <v>2022</v>
      </c>
      <c r="D140" s="725">
        <f>E140+E141+E142+F140+F141+F142+I140+I141+I142+J140+J141+J142</f>
        <v>23376.2678</v>
      </c>
      <c r="E140" s="722"/>
      <c r="F140" s="722">
        <f t="shared" si="10"/>
        <v>0</v>
      </c>
      <c r="G140" s="148"/>
      <c r="H140" s="148"/>
      <c r="I140" s="725">
        <v>871.7675</v>
      </c>
      <c r="J140" s="722">
        <v>5000</v>
      </c>
      <c r="K140" s="749" t="s">
        <v>450</v>
      </c>
      <c r="L140" s="706"/>
    </row>
    <row r="141" spans="1:12" ht="18" customHeight="1">
      <c r="A141" s="697"/>
      <c r="B141" s="148"/>
      <c r="C141" s="747"/>
      <c r="D141" s="725"/>
      <c r="E141" s="722"/>
      <c r="F141" s="722">
        <f t="shared" si="10"/>
        <v>0</v>
      </c>
      <c r="G141" s="148"/>
      <c r="H141" s="148"/>
      <c r="I141" s="725">
        <v>1644.5228</v>
      </c>
      <c r="J141" s="722">
        <v>9000</v>
      </c>
      <c r="K141" s="749" t="s">
        <v>452</v>
      </c>
      <c r="L141" s="706"/>
    </row>
    <row r="142" spans="1:12" ht="18" customHeight="1">
      <c r="A142" s="697"/>
      <c r="B142" s="148"/>
      <c r="C142" s="747"/>
      <c r="D142" s="725"/>
      <c r="E142" s="722"/>
      <c r="F142" s="722">
        <f t="shared" si="10"/>
        <v>0</v>
      </c>
      <c r="G142" s="148"/>
      <c r="H142" s="148"/>
      <c r="I142" s="725">
        <v>859.9775</v>
      </c>
      <c r="J142" s="722">
        <v>6000</v>
      </c>
      <c r="K142" s="749" t="s">
        <v>453</v>
      </c>
      <c r="L142" s="706"/>
    </row>
    <row r="143" spans="1:12" ht="18" customHeight="1">
      <c r="A143" s="697"/>
      <c r="B143" s="148"/>
      <c r="C143" s="747">
        <v>2023</v>
      </c>
      <c r="D143" s="725">
        <f>E143+E144+E145+F143+F144+F145+I143+I144+I145+J143+J144+J145</f>
        <v>23707.539</v>
      </c>
      <c r="E143" s="722"/>
      <c r="F143" s="722">
        <f t="shared" si="10"/>
        <v>0</v>
      </c>
      <c r="G143" s="148"/>
      <c r="H143" s="148"/>
      <c r="I143" s="748">
        <v>899.872</v>
      </c>
      <c r="J143" s="722">
        <v>5000</v>
      </c>
      <c r="K143" s="749" t="s">
        <v>450</v>
      </c>
      <c r="L143" s="706"/>
    </row>
    <row r="144" spans="1:12" ht="18" customHeight="1">
      <c r="A144" s="697"/>
      <c r="B144" s="148"/>
      <c r="C144" s="747"/>
      <c r="D144" s="725"/>
      <c r="E144" s="722"/>
      <c r="F144" s="722">
        <f t="shared" si="10"/>
        <v>0</v>
      </c>
      <c r="G144" s="148"/>
      <c r="H144" s="148"/>
      <c r="I144" s="748">
        <v>1833.721</v>
      </c>
      <c r="J144" s="722">
        <v>9000</v>
      </c>
      <c r="K144" s="749" t="s">
        <v>452</v>
      </c>
      <c r="L144" s="706"/>
    </row>
    <row r="145" spans="1:12" ht="18" customHeight="1">
      <c r="A145" s="697"/>
      <c r="B145" s="148"/>
      <c r="C145" s="747"/>
      <c r="D145" s="725"/>
      <c r="E145" s="722"/>
      <c r="F145" s="722">
        <f t="shared" si="10"/>
        <v>0</v>
      </c>
      <c r="G145" s="148"/>
      <c r="H145" s="148"/>
      <c r="I145" s="748">
        <v>973.946</v>
      </c>
      <c r="J145" s="722">
        <v>6000</v>
      </c>
      <c r="K145" s="749" t="s">
        <v>453</v>
      </c>
      <c r="L145" s="706"/>
    </row>
    <row r="146" spans="1:12" ht="18" customHeight="1">
      <c r="A146" s="697"/>
      <c r="B146" s="148"/>
      <c r="C146" s="747">
        <v>2024</v>
      </c>
      <c r="D146" s="725">
        <f>E146+E147+E148+F146+F147+F148+I146+I147+I148+J146+J147+J148</f>
        <v>22992.7</v>
      </c>
      <c r="E146" s="722"/>
      <c r="F146" s="722">
        <f t="shared" si="10"/>
        <v>0</v>
      </c>
      <c r="G146" s="148"/>
      <c r="H146" s="148"/>
      <c r="I146" s="748">
        <v>749</v>
      </c>
      <c r="J146" s="722">
        <v>5000</v>
      </c>
      <c r="K146" s="749" t="s">
        <v>450</v>
      </c>
      <c r="L146" s="706"/>
    </row>
    <row r="147" spans="1:12" ht="18" customHeight="1">
      <c r="A147" s="697"/>
      <c r="B147" s="148"/>
      <c r="C147" s="747"/>
      <c r="D147" s="725"/>
      <c r="E147" s="722"/>
      <c r="F147" s="722">
        <f t="shared" si="10"/>
        <v>0</v>
      </c>
      <c r="G147" s="148"/>
      <c r="H147" s="148"/>
      <c r="I147" s="748">
        <v>1494.8</v>
      </c>
      <c r="J147" s="722">
        <v>9000</v>
      </c>
      <c r="K147" s="749" t="s">
        <v>452</v>
      </c>
      <c r="L147" s="706"/>
    </row>
    <row r="148" spans="1:12" ht="18" customHeight="1">
      <c r="A148" s="697"/>
      <c r="B148" s="148"/>
      <c r="C148" s="747"/>
      <c r="D148" s="725"/>
      <c r="E148" s="722"/>
      <c r="F148" s="722">
        <f t="shared" si="10"/>
        <v>0</v>
      </c>
      <c r="G148" s="148"/>
      <c r="H148" s="148"/>
      <c r="I148" s="748">
        <v>748.9</v>
      </c>
      <c r="J148" s="722">
        <v>6000</v>
      </c>
      <c r="K148" s="749" t="s">
        <v>453</v>
      </c>
      <c r="L148" s="706"/>
    </row>
    <row r="149" spans="1:12" ht="18" customHeight="1">
      <c r="A149" s="697"/>
      <c r="B149" s="148"/>
      <c r="C149" s="747">
        <v>2025</v>
      </c>
      <c r="D149" s="725">
        <f>E149+E150+E151+F149+F150+F151+I149+I150+I151+J149+J150+J151</f>
        <v>22992.7</v>
      </c>
      <c r="E149" s="722"/>
      <c r="F149" s="722">
        <v>0</v>
      </c>
      <c r="G149" s="148"/>
      <c r="H149" s="148"/>
      <c r="I149" s="748">
        <v>749</v>
      </c>
      <c r="J149" s="722">
        <v>5000</v>
      </c>
      <c r="K149" s="749" t="s">
        <v>450</v>
      </c>
      <c r="L149" s="706"/>
    </row>
    <row r="150" spans="1:12" ht="18" customHeight="1">
      <c r="A150" s="697"/>
      <c r="B150" s="148"/>
      <c r="C150" s="747"/>
      <c r="D150" s="725"/>
      <c r="E150" s="722"/>
      <c r="F150" s="722">
        <v>0</v>
      </c>
      <c r="G150" s="148"/>
      <c r="H150" s="148"/>
      <c r="I150" s="748">
        <v>1494.8</v>
      </c>
      <c r="J150" s="722">
        <v>9000</v>
      </c>
      <c r="K150" s="749" t="s">
        <v>452</v>
      </c>
      <c r="L150" s="706"/>
    </row>
    <row r="151" spans="1:12" ht="18" customHeight="1">
      <c r="A151" s="697"/>
      <c r="B151" s="148"/>
      <c r="C151" s="747"/>
      <c r="D151" s="725"/>
      <c r="E151" s="722"/>
      <c r="F151" s="722">
        <v>0</v>
      </c>
      <c r="G151" s="148"/>
      <c r="H151" s="148"/>
      <c r="I151" s="748">
        <v>748.9</v>
      </c>
      <c r="J151" s="722">
        <v>6000</v>
      </c>
      <c r="K151" s="749" t="s">
        <v>453</v>
      </c>
      <c r="L151" s="706"/>
    </row>
    <row r="152" spans="1:12" ht="18" customHeight="1">
      <c r="A152" s="697" t="s">
        <v>285</v>
      </c>
      <c r="B152" s="148" t="s">
        <v>441</v>
      </c>
      <c r="C152" s="747">
        <v>2017</v>
      </c>
      <c r="D152" s="748">
        <f>E152+E153+E154+F152+F153+F154+I152+I153+I154+J152+J153+J154</f>
        <v>157.393</v>
      </c>
      <c r="E152" s="722"/>
      <c r="F152" s="722">
        <f aca="true" t="shared" si="11" ref="F152:F190">G152+H152</f>
        <v>0</v>
      </c>
      <c r="G152" s="148"/>
      <c r="H152" s="725"/>
      <c r="I152" s="725">
        <v>57.782</v>
      </c>
      <c r="J152" s="722">
        <v>0</v>
      </c>
      <c r="K152" s="749" t="s">
        <v>450</v>
      </c>
      <c r="L152" s="706" t="s">
        <v>454</v>
      </c>
    </row>
    <row r="153" spans="1:12" ht="18" customHeight="1">
      <c r="A153" s="697"/>
      <c r="B153" s="148"/>
      <c r="C153" s="747"/>
      <c r="D153" s="748"/>
      <c r="E153" s="722"/>
      <c r="F153" s="722">
        <f t="shared" si="11"/>
        <v>0</v>
      </c>
      <c r="G153" s="148"/>
      <c r="H153" s="725"/>
      <c r="I153" s="725">
        <v>45.641</v>
      </c>
      <c r="J153" s="722">
        <v>0</v>
      </c>
      <c r="K153" s="749" t="s">
        <v>452</v>
      </c>
      <c r="L153" s="706"/>
    </row>
    <row r="154" spans="1:12" ht="18" customHeight="1">
      <c r="A154" s="697"/>
      <c r="B154" s="148"/>
      <c r="C154" s="747"/>
      <c r="D154" s="748"/>
      <c r="E154" s="722"/>
      <c r="F154" s="722">
        <f t="shared" si="11"/>
        <v>0</v>
      </c>
      <c r="G154" s="148"/>
      <c r="H154" s="725"/>
      <c r="I154" s="725">
        <v>53.97</v>
      </c>
      <c r="J154" s="722">
        <v>0</v>
      </c>
      <c r="K154" s="749" t="s">
        <v>453</v>
      </c>
      <c r="L154" s="706"/>
    </row>
    <row r="155" spans="1:12" ht="18" customHeight="1">
      <c r="A155" s="697"/>
      <c r="B155" s="148"/>
      <c r="C155" s="747">
        <v>2018</v>
      </c>
      <c r="D155" s="748">
        <f>E155+E156+E157+F155+F156+F157+I155+I156+I157+J155+J156+J157</f>
        <v>162</v>
      </c>
      <c r="E155" s="722"/>
      <c r="F155" s="722">
        <f t="shared" si="11"/>
        <v>0</v>
      </c>
      <c r="G155" s="148"/>
      <c r="H155" s="725"/>
      <c r="I155" s="725">
        <v>54</v>
      </c>
      <c r="J155" s="722">
        <v>0</v>
      </c>
      <c r="K155" s="749" t="s">
        <v>450</v>
      </c>
      <c r="L155" s="706"/>
    </row>
    <row r="156" spans="1:12" ht="18" customHeight="1">
      <c r="A156" s="697"/>
      <c r="B156" s="148"/>
      <c r="C156" s="747"/>
      <c r="D156" s="748"/>
      <c r="E156" s="722"/>
      <c r="F156" s="722">
        <f t="shared" si="11"/>
        <v>0</v>
      </c>
      <c r="G156" s="148"/>
      <c r="H156" s="725"/>
      <c r="I156" s="725">
        <v>54</v>
      </c>
      <c r="J156" s="722">
        <v>0</v>
      </c>
      <c r="K156" s="749" t="s">
        <v>452</v>
      </c>
      <c r="L156" s="706"/>
    </row>
    <row r="157" spans="1:12" ht="18" customHeight="1">
      <c r="A157" s="697"/>
      <c r="B157" s="148"/>
      <c r="C157" s="747"/>
      <c r="D157" s="748"/>
      <c r="E157" s="722"/>
      <c r="F157" s="722">
        <f t="shared" si="11"/>
        <v>0</v>
      </c>
      <c r="G157" s="148"/>
      <c r="H157" s="725"/>
      <c r="I157" s="725">
        <v>54</v>
      </c>
      <c r="J157" s="722">
        <v>0</v>
      </c>
      <c r="K157" s="749" t="s">
        <v>453</v>
      </c>
      <c r="L157" s="706"/>
    </row>
    <row r="158" spans="1:12" ht="18" customHeight="1">
      <c r="A158" s="697"/>
      <c r="B158" s="148"/>
      <c r="C158" s="747">
        <v>2019</v>
      </c>
      <c r="D158" s="748">
        <f>E158+E159+E160+F158+F159+F160+I158+I159+I160+J158+J159+J160</f>
        <v>162</v>
      </c>
      <c r="E158" s="722"/>
      <c r="F158" s="722">
        <f t="shared" si="11"/>
        <v>0</v>
      </c>
      <c r="G158" s="148"/>
      <c r="H158" s="725"/>
      <c r="I158" s="725">
        <v>54</v>
      </c>
      <c r="J158" s="722">
        <v>0</v>
      </c>
      <c r="K158" s="749" t="s">
        <v>450</v>
      </c>
      <c r="L158" s="706"/>
    </row>
    <row r="159" spans="1:12" ht="18" customHeight="1">
      <c r="A159" s="697"/>
      <c r="B159" s="148"/>
      <c r="C159" s="747"/>
      <c r="D159" s="748"/>
      <c r="E159" s="722"/>
      <c r="F159" s="722">
        <f t="shared" si="11"/>
        <v>0</v>
      </c>
      <c r="G159" s="148"/>
      <c r="H159" s="725"/>
      <c r="I159" s="725">
        <v>54</v>
      </c>
      <c r="J159" s="722">
        <v>0</v>
      </c>
      <c r="K159" s="749" t="s">
        <v>452</v>
      </c>
      <c r="L159" s="706"/>
    </row>
    <row r="160" spans="1:12" ht="18" customHeight="1">
      <c r="A160" s="697"/>
      <c r="B160" s="148"/>
      <c r="C160" s="747"/>
      <c r="D160" s="748"/>
      <c r="E160" s="722"/>
      <c r="F160" s="722">
        <f t="shared" si="11"/>
        <v>0</v>
      </c>
      <c r="G160" s="148"/>
      <c r="H160" s="725"/>
      <c r="I160" s="725">
        <v>54</v>
      </c>
      <c r="J160" s="722">
        <v>0</v>
      </c>
      <c r="K160" s="749" t="s">
        <v>453</v>
      </c>
      <c r="L160" s="706"/>
    </row>
    <row r="161" spans="1:12" ht="18" customHeight="1">
      <c r="A161" s="697"/>
      <c r="B161" s="148"/>
      <c r="C161" s="747">
        <v>2020</v>
      </c>
      <c r="D161" s="748">
        <f>E161+E162+E163+F161+F162+F163+I161+I162+I163+J161+J162+J163</f>
        <v>162</v>
      </c>
      <c r="E161" s="722"/>
      <c r="F161" s="722">
        <f t="shared" si="11"/>
        <v>0</v>
      </c>
      <c r="G161" s="148"/>
      <c r="H161" s="725"/>
      <c r="I161" s="725">
        <v>54</v>
      </c>
      <c r="J161" s="722">
        <v>0</v>
      </c>
      <c r="K161" s="749" t="s">
        <v>450</v>
      </c>
      <c r="L161" s="706"/>
    </row>
    <row r="162" spans="1:12" ht="18" customHeight="1">
      <c r="A162" s="697"/>
      <c r="B162" s="148"/>
      <c r="C162" s="747"/>
      <c r="D162" s="748"/>
      <c r="E162" s="722"/>
      <c r="F162" s="722">
        <f t="shared" si="11"/>
        <v>0</v>
      </c>
      <c r="G162" s="148"/>
      <c r="H162" s="725"/>
      <c r="I162" s="725">
        <v>54</v>
      </c>
      <c r="J162" s="722">
        <v>0</v>
      </c>
      <c r="K162" s="749" t="s">
        <v>452</v>
      </c>
      <c r="L162" s="706"/>
    </row>
    <row r="163" spans="1:12" ht="18" customHeight="1">
      <c r="A163" s="697"/>
      <c r="B163" s="148"/>
      <c r="C163" s="747"/>
      <c r="D163" s="748"/>
      <c r="E163" s="722"/>
      <c r="F163" s="722">
        <f t="shared" si="11"/>
        <v>0</v>
      </c>
      <c r="G163" s="148"/>
      <c r="H163" s="725"/>
      <c r="I163" s="725">
        <v>54</v>
      </c>
      <c r="J163" s="722">
        <v>0</v>
      </c>
      <c r="K163" s="749" t="s">
        <v>453</v>
      </c>
      <c r="L163" s="706"/>
    </row>
    <row r="164" spans="1:12" ht="18" customHeight="1">
      <c r="A164" s="697"/>
      <c r="B164" s="148"/>
      <c r="C164" s="747">
        <v>2021</v>
      </c>
      <c r="D164" s="748">
        <f>E164+E165+E166+F164+F165+F166+I164+I165+I166+J164+J165+J166</f>
        <v>162</v>
      </c>
      <c r="E164" s="722"/>
      <c r="F164" s="722">
        <f t="shared" si="11"/>
        <v>0</v>
      </c>
      <c r="G164" s="148"/>
      <c r="H164" s="725"/>
      <c r="I164" s="725">
        <v>54</v>
      </c>
      <c r="J164" s="722">
        <v>0</v>
      </c>
      <c r="K164" s="749" t="s">
        <v>450</v>
      </c>
      <c r="L164" s="706"/>
    </row>
    <row r="165" spans="1:12" ht="18" customHeight="1">
      <c r="A165" s="697"/>
      <c r="B165" s="148"/>
      <c r="C165" s="747"/>
      <c r="D165" s="748"/>
      <c r="E165" s="722"/>
      <c r="F165" s="722">
        <f t="shared" si="11"/>
        <v>0</v>
      </c>
      <c r="G165" s="148"/>
      <c r="H165" s="725"/>
      <c r="I165" s="725">
        <v>54</v>
      </c>
      <c r="J165" s="722">
        <v>0</v>
      </c>
      <c r="K165" s="749" t="s">
        <v>452</v>
      </c>
      <c r="L165" s="706"/>
    </row>
    <row r="166" spans="1:12" ht="18" customHeight="1">
      <c r="A166" s="697"/>
      <c r="B166" s="148"/>
      <c r="C166" s="747"/>
      <c r="D166" s="748"/>
      <c r="E166" s="722"/>
      <c r="F166" s="722">
        <f t="shared" si="11"/>
        <v>0</v>
      </c>
      <c r="G166" s="148"/>
      <c r="H166" s="725"/>
      <c r="I166" s="725">
        <v>54</v>
      </c>
      <c r="J166" s="722">
        <v>0</v>
      </c>
      <c r="K166" s="749" t="s">
        <v>453</v>
      </c>
      <c r="L166" s="706"/>
    </row>
    <row r="167" spans="1:12" ht="18" customHeight="1">
      <c r="A167" s="697"/>
      <c r="B167" s="148"/>
      <c r="C167" s="747">
        <v>2022</v>
      </c>
      <c r="D167" s="748">
        <f>E167+E168+E169+F167+F168+F169+I167+I168+I169+J167+J168+J169</f>
        <v>162</v>
      </c>
      <c r="E167" s="722"/>
      <c r="F167" s="722">
        <f t="shared" si="11"/>
        <v>0</v>
      </c>
      <c r="G167" s="148"/>
      <c r="H167" s="725"/>
      <c r="I167" s="725">
        <v>54</v>
      </c>
      <c r="J167" s="722">
        <v>0</v>
      </c>
      <c r="K167" s="749" t="s">
        <v>450</v>
      </c>
      <c r="L167" s="706"/>
    </row>
    <row r="168" spans="1:12" ht="18" customHeight="1">
      <c r="A168" s="697"/>
      <c r="B168" s="148"/>
      <c r="C168" s="747"/>
      <c r="D168" s="748"/>
      <c r="E168" s="722"/>
      <c r="F168" s="722">
        <f t="shared" si="11"/>
        <v>0</v>
      </c>
      <c r="G168" s="148"/>
      <c r="H168" s="725"/>
      <c r="I168" s="725">
        <v>54</v>
      </c>
      <c r="J168" s="722">
        <v>0</v>
      </c>
      <c r="K168" s="749" t="s">
        <v>452</v>
      </c>
      <c r="L168" s="706"/>
    </row>
    <row r="169" spans="1:12" ht="18" customHeight="1">
      <c r="A169" s="697"/>
      <c r="B169" s="148"/>
      <c r="C169" s="747"/>
      <c r="D169" s="748"/>
      <c r="E169" s="722"/>
      <c r="F169" s="722">
        <f t="shared" si="11"/>
        <v>0</v>
      </c>
      <c r="G169" s="148"/>
      <c r="H169" s="725"/>
      <c r="I169" s="725">
        <v>54</v>
      </c>
      <c r="J169" s="722">
        <v>0</v>
      </c>
      <c r="K169" s="749" t="s">
        <v>453</v>
      </c>
      <c r="L169" s="706"/>
    </row>
    <row r="170" spans="1:12" ht="18" customHeight="1">
      <c r="A170" s="697"/>
      <c r="B170" s="148"/>
      <c r="C170" s="747">
        <v>2023</v>
      </c>
      <c r="D170" s="748">
        <f>E170+E171+E172+F170+F171+F172+I170+I171+I172+J170+J171+J172</f>
        <v>81</v>
      </c>
      <c r="E170" s="722"/>
      <c r="F170" s="722">
        <f t="shared" si="11"/>
        <v>0</v>
      </c>
      <c r="G170" s="148"/>
      <c r="H170" s="725"/>
      <c r="I170" s="725">
        <v>27</v>
      </c>
      <c r="J170" s="722">
        <v>0</v>
      </c>
      <c r="K170" s="749" t="s">
        <v>450</v>
      </c>
      <c r="L170" s="706"/>
    </row>
    <row r="171" spans="1:12" ht="18" customHeight="1">
      <c r="A171" s="697"/>
      <c r="B171" s="148"/>
      <c r="C171" s="747"/>
      <c r="D171" s="748"/>
      <c r="E171" s="722"/>
      <c r="F171" s="722">
        <f t="shared" si="11"/>
        <v>0</v>
      </c>
      <c r="G171" s="148"/>
      <c r="H171" s="725"/>
      <c r="I171" s="725">
        <v>27</v>
      </c>
      <c r="J171" s="722">
        <v>0</v>
      </c>
      <c r="K171" s="749" t="s">
        <v>452</v>
      </c>
      <c r="L171" s="706"/>
    </row>
    <row r="172" spans="1:12" ht="18" customHeight="1">
      <c r="A172" s="697"/>
      <c r="B172" s="148"/>
      <c r="C172" s="747"/>
      <c r="D172" s="748"/>
      <c r="E172" s="722"/>
      <c r="F172" s="722">
        <f t="shared" si="11"/>
        <v>0</v>
      </c>
      <c r="G172" s="148"/>
      <c r="H172" s="725"/>
      <c r="I172" s="725">
        <v>27</v>
      </c>
      <c r="J172" s="722">
        <v>0</v>
      </c>
      <c r="K172" s="749" t="s">
        <v>453</v>
      </c>
      <c r="L172" s="706"/>
    </row>
    <row r="173" spans="1:12" ht="18" customHeight="1">
      <c r="A173" s="697"/>
      <c r="B173" s="148"/>
      <c r="C173" s="747">
        <v>2024</v>
      </c>
      <c r="D173" s="748">
        <f>E173+E174+E175+F173+F174+F175+I173+I174+I175+J173+J174+J175</f>
        <v>162</v>
      </c>
      <c r="E173" s="722"/>
      <c r="F173" s="722">
        <f t="shared" si="11"/>
        <v>0</v>
      </c>
      <c r="G173" s="148"/>
      <c r="H173" s="725"/>
      <c r="I173" s="725">
        <v>54</v>
      </c>
      <c r="J173" s="722">
        <v>0</v>
      </c>
      <c r="K173" s="749" t="s">
        <v>450</v>
      </c>
      <c r="L173" s="706"/>
    </row>
    <row r="174" spans="1:12" ht="18" customHeight="1">
      <c r="A174" s="697"/>
      <c r="B174" s="148"/>
      <c r="C174" s="747"/>
      <c r="D174" s="748"/>
      <c r="E174" s="722"/>
      <c r="F174" s="722">
        <f t="shared" si="11"/>
        <v>0</v>
      </c>
      <c r="G174" s="148"/>
      <c r="H174" s="725"/>
      <c r="I174" s="725">
        <v>54</v>
      </c>
      <c r="J174" s="722">
        <v>0</v>
      </c>
      <c r="K174" s="749" t="s">
        <v>452</v>
      </c>
      <c r="L174" s="706"/>
    </row>
    <row r="175" spans="1:12" ht="18" customHeight="1">
      <c r="A175" s="697"/>
      <c r="B175" s="148"/>
      <c r="C175" s="747"/>
      <c r="D175" s="748"/>
      <c r="E175" s="722"/>
      <c r="F175" s="722">
        <f t="shared" si="11"/>
        <v>0</v>
      </c>
      <c r="G175" s="148"/>
      <c r="H175" s="725"/>
      <c r="I175" s="725">
        <v>54</v>
      </c>
      <c r="J175" s="722">
        <v>0</v>
      </c>
      <c r="K175" s="749" t="s">
        <v>453</v>
      </c>
      <c r="L175" s="706"/>
    </row>
    <row r="176" spans="1:12" ht="18" customHeight="1">
      <c r="A176" s="697"/>
      <c r="B176" s="148"/>
      <c r="C176" s="747">
        <v>2025</v>
      </c>
      <c r="D176" s="748">
        <f>E176+E177+E178+F176+F177+F178+I176+I177+I178+J176+J177+J178</f>
        <v>162</v>
      </c>
      <c r="E176" s="722"/>
      <c r="F176" s="722">
        <f t="shared" si="11"/>
        <v>0</v>
      </c>
      <c r="G176" s="148"/>
      <c r="H176" s="725"/>
      <c r="I176" s="725">
        <v>54</v>
      </c>
      <c r="J176" s="722">
        <v>0</v>
      </c>
      <c r="K176" s="749" t="s">
        <v>450</v>
      </c>
      <c r="L176" s="706"/>
    </row>
    <row r="177" spans="1:12" ht="18" customHeight="1">
      <c r="A177" s="697"/>
      <c r="B177" s="148"/>
      <c r="C177" s="747"/>
      <c r="D177" s="748"/>
      <c r="E177" s="722"/>
      <c r="F177" s="722">
        <f t="shared" si="11"/>
        <v>0</v>
      </c>
      <c r="G177" s="148"/>
      <c r="H177" s="725"/>
      <c r="I177" s="725">
        <v>54</v>
      </c>
      <c r="J177" s="722">
        <v>0</v>
      </c>
      <c r="K177" s="749" t="s">
        <v>452</v>
      </c>
      <c r="L177" s="706"/>
    </row>
    <row r="178" spans="1:12" ht="18" customHeight="1">
      <c r="A178" s="697"/>
      <c r="B178" s="148"/>
      <c r="C178" s="747"/>
      <c r="D178" s="748"/>
      <c r="E178" s="722"/>
      <c r="F178" s="722">
        <f t="shared" si="11"/>
        <v>0</v>
      </c>
      <c r="G178" s="148"/>
      <c r="H178" s="725"/>
      <c r="I178" s="725">
        <v>54</v>
      </c>
      <c r="J178" s="722">
        <v>0</v>
      </c>
      <c r="K178" s="749" t="s">
        <v>453</v>
      </c>
      <c r="L178" s="706"/>
    </row>
    <row r="179" spans="1:12" ht="19.5" customHeight="1">
      <c r="A179" s="697" t="s">
        <v>294</v>
      </c>
      <c r="B179" s="148" t="s">
        <v>455</v>
      </c>
      <c r="C179" s="747">
        <v>2017</v>
      </c>
      <c r="D179" s="722">
        <f aca="true" t="shared" si="12" ref="D179:D187">E179+F179+I179+J179</f>
        <v>180.31</v>
      </c>
      <c r="E179" s="750"/>
      <c r="F179" s="722">
        <f t="shared" si="11"/>
        <v>0</v>
      </c>
      <c r="G179" s="467"/>
      <c r="H179" s="722"/>
      <c r="I179" s="722">
        <v>180.31</v>
      </c>
      <c r="J179" s="722">
        <v>0</v>
      </c>
      <c r="K179" s="152" t="s">
        <v>456</v>
      </c>
      <c r="L179" s="706" t="s">
        <v>457</v>
      </c>
    </row>
    <row r="180" spans="1:12" ht="19.5" customHeight="1">
      <c r="A180" s="697"/>
      <c r="B180" s="148"/>
      <c r="C180" s="747">
        <v>2018</v>
      </c>
      <c r="D180" s="722">
        <f t="shared" si="12"/>
        <v>220</v>
      </c>
      <c r="E180" s="750"/>
      <c r="F180" s="722">
        <f t="shared" si="11"/>
        <v>0</v>
      </c>
      <c r="G180" s="467"/>
      <c r="H180" s="722"/>
      <c r="I180" s="722">
        <v>220</v>
      </c>
      <c r="J180" s="722">
        <v>0</v>
      </c>
      <c r="K180" s="152"/>
      <c r="L180" s="706"/>
    </row>
    <row r="181" spans="1:12" ht="19.5" customHeight="1">
      <c r="A181" s="697"/>
      <c r="B181" s="148"/>
      <c r="C181" s="747">
        <v>2019</v>
      </c>
      <c r="D181" s="722">
        <f t="shared" si="12"/>
        <v>220</v>
      </c>
      <c r="E181" s="750"/>
      <c r="F181" s="722">
        <f t="shared" si="11"/>
        <v>0</v>
      </c>
      <c r="G181" s="467"/>
      <c r="H181" s="722"/>
      <c r="I181" s="722">
        <v>220</v>
      </c>
      <c r="J181" s="722">
        <v>0</v>
      </c>
      <c r="K181" s="152"/>
      <c r="L181" s="706"/>
    </row>
    <row r="182" spans="1:12" ht="19.5" customHeight="1">
      <c r="A182" s="697"/>
      <c r="B182" s="148"/>
      <c r="C182" s="747">
        <v>2020</v>
      </c>
      <c r="D182" s="722">
        <f t="shared" si="12"/>
        <v>220</v>
      </c>
      <c r="E182" s="750"/>
      <c r="F182" s="722">
        <f t="shared" si="11"/>
        <v>0</v>
      </c>
      <c r="G182" s="467"/>
      <c r="H182" s="722"/>
      <c r="I182" s="722">
        <v>220</v>
      </c>
      <c r="J182" s="722">
        <v>0</v>
      </c>
      <c r="K182" s="152"/>
      <c r="L182" s="706"/>
    </row>
    <row r="183" spans="1:12" ht="23.25" customHeight="1">
      <c r="A183" s="697"/>
      <c r="B183" s="148"/>
      <c r="C183" s="747">
        <v>2021</v>
      </c>
      <c r="D183" s="722">
        <f t="shared" si="12"/>
        <v>220</v>
      </c>
      <c r="E183" s="750"/>
      <c r="F183" s="722">
        <f t="shared" si="11"/>
        <v>0</v>
      </c>
      <c r="G183" s="467"/>
      <c r="H183" s="722"/>
      <c r="I183" s="722">
        <v>220</v>
      </c>
      <c r="J183" s="722">
        <v>0</v>
      </c>
      <c r="K183" s="152"/>
      <c r="L183" s="706"/>
    </row>
    <row r="184" spans="1:12" ht="30" customHeight="1">
      <c r="A184" s="697"/>
      <c r="B184" s="148"/>
      <c r="C184" s="747">
        <v>2022</v>
      </c>
      <c r="D184" s="722">
        <f t="shared" si="12"/>
        <v>299</v>
      </c>
      <c r="E184" s="750"/>
      <c r="F184" s="722">
        <f t="shared" si="11"/>
        <v>0</v>
      </c>
      <c r="G184" s="467"/>
      <c r="H184" s="722"/>
      <c r="I184" s="722">
        <v>299</v>
      </c>
      <c r="J184" s="722">
        <v>0</v>
      </c>
      <c r="K184" s="751" t="s">
        <v>458</v>
      </c>
      <c r="L184" s="706"/>
    </row>
    <row r="185" spans="1:12" s="752" customFormat="1" ht="27" customHeight="1">
      <c r="A185" s="697"/>
      <c r="B185" s="148"/>
      <c r="C185" s="747">
        <v>2023</v>
      </c>
      <c r="D185" s="722">
        <f t="shared" si="12"/>
        <v>149.5</v>
      </c>
      <c r="E185" s="750"/>
      <c r="F185" s="722">
        <f t="shared" si="11"/>
        <v>0</v>
      </c>
      <c r="G185" s="467"/>
      <c r="H185" s="722"/>
      <c r="I185" s="722">
        <v>149.5</v>
      </c>
      <c r="J185" s="722">
        <v>0</v>
      </c>
      <c r="K185" s="751"/>
      <c r="L185" s="706"/>
    </row>
    <row r="186" spans="1:12" ht="19.5" customHeight="1">
      <c r="A186" s="697"/>
      <c r="B186" s="148"/>
      <c r="C186" s="753">
        <v>2024</v>
      </c>
      <c r="D186" s="754">
        <f t="shared" si="12"/>
        <v>299</v>
      </c>
      <c r="E186" s="755"/>
      <c r="F186" s="754">
        <f t="shared" si="11"/>
        <v>0</v>
      </c>
      <c r="G186" s="756"/>
      <c r="H186" s="754"/>
      <c r="I186" s="754">
        <v>299</v>
      </c>
      <c r="J186" s="754">
        <v>0</v>
      </c>
      <c r="K186" s="751"/>
      <c r="L186" s="706"/>
    </row>
    <row r="187" spans="1:12" ht="18" customHeight="1">
      <c r="A187" s="697"/>
      <c r="B187" s="148"/>
      <c r="C187" s="747">
        <v>2025</v>
      </c>
      <c r="D187" s="722">
        <f t="shared" si="12"/>
        <v>299</v>
      </c>
      <c r="E187" s="750"/>
      <c r="F187" s="722">
        <f t="shared" si="11"/>
        <v>0</v>
      </c>
      <c r="G187" s="467"/>
      <c r="H187" s="722"/>
      <c r="I187" s="722">
        <v>299</v>
      </c>
      <c r="J187" s="722">
        <v>0</v>
      </c>
      <c r="K187" s="751"/>
      <c r="L187" s="706"/>
    </row>
    <row r="188" spans="1:12" s="763" customFormat="1" ht="19.5" customHeight="1">
      <c r="A188" s="757"/>
      <c r="B188" s="758" t="s">
        <v>342</v>
      </c>
      <c r="C188" s="759">
        <v>2017</v>
      </c>
      <c r="D188" s="760">
        <f>D125+D126+D127+D152+D153+D154+D179</f>
        <v>21116.694000000003</v>
      </c>
      <c r="E188" s="761">
        <f>E125+E126+E127+E152+E153+E154+E179</f>
        <v>0</v>
      </c>
      <c r="F188" s="761">
        <f t="shared" si="11"/>
        <v>0</v>
      </c>
      <c r="G188" s="761">
        <f>G125+G126+G127+G152+G153+G154+G179</f>
        <v>0</v>
      </c>
      <c r="H188" s="761">
        <f>H125+H126+H127+H152+H153+H154+H179</f>
        <v>0</v>
      </c>
      <c r="I188" s="760">
        <f>I125+I126+I127+I152+I153+I154+I179</f>
        <v>2675.774</v>
      </c>
      <c r="J188" s="760">
        <f>J125+J126+J127+J152+J153+J154+J179</f>
        <v>18440.92</v>
      </c>
      <c r="K188" s="762"/>
      <c r="L188" s="49"/>
    </row>
    <row r="189" spans="1:12" s="763" customFormat="1" ht="19.5" customHeight="1">
      <c r="A189" s="757"/>
      <c r="B189" s="758"/>
      <c r="C189" s="764">
        <v>2018</v>
      </c>
      <c r="D189" s="716">
        <f>D128+D129+D130+D155+D156+D157+D180</f>
        <v>23092.704</v>
      </c>
      <c r="E189" s="765">
        <f>E128+E129+E130+E155+E156+E157+E180</f>
        <v>0</v>
      </c>
      <c r="F189" s="766">
        <f t="shared" si="11"/>
        <v>0</v>
      </c>
      <c r="G189" s="765">
        <f>G128+G129+G130+G155+G156+G157+G180</f>
        <v>0</v>
      </c>
      <c r="H189" s="765">
        <f>H128+H129+H130+H155+H156+H157+H180</f>
        <v>0</v>
      </c>
      <c r="I189" s="716">
        <f>I128+I129+I130+I155+I156+I157+I180</f>
        <v>2668.525</v>
      </c>
      <c r="J189" s="716">
        <f>J128+J129+J130+J155+J156+J157+J180</f>
        <v>20424.179</v>
      </c>
      <c r="K189" s="762"/>
      <c r="L189" s="49"/>
    </row>
    <row r="190" spans="1:12" s="763" customFormat="1" ht="19.5" customHeight="1">
      <c r="A190" s="757"/>
      <c r="B190" s="758"/>
      <c r="C190" s="764">
        <v>2019</v>
      </c>
      <c r="D190" s="716">
        <f>D131+D132+D133+D158+D159+D160+D181</f>
        <v>24317.088</v>
      </c>
      <c r="E190" s="765">
        <f>E131+E132+E133+E158+E159+E160+E181</f>
        <v>0</v>
      </c>
      <c r="F190" s="766">
        <f t="shared" si="11"/>
        <v>0</v>
      </c>
      <c r="G190" s="765">
        <f>G131+G132+G133+G158+G159+G160+G181</f>
        <v>0</v>
      </c>
      <c r="H190" s="765">
        <f>H131+H132+H133+H158+H159+H160+H181</f>
        <v>0</v>
      </c>
      <c r="I190" s="716">
        <f>I131+I132+I133+I158+I159+I160+I181</f>
        <v>3691.31</v>
      </c>
      <c r="J190" s="716">
        <f>J131+J132+J133+J158+J159+J160+J181</f>
        <v>20625.778</v>
      </c>
      <c r="K190" s="762"/>
      <c r="L190" s="49"/>
    </row>
    <row r="191" spans="1:12" s="763" customFormat="1" ht="19.5" customHeight="1">
      <c r="A191" s="757"/>
      <c r="B191" s="758"/>
      <c r="C191" s="764">
        <v>2020</v>
      </c>
      <c r="D191" s="716">
        <f>D182+D161+D134</f>
        <v>25586.21</v>
      </c>
      <c r="E191" s="716">
        <f>E134+E135+E136+E163+E167+E168+E182</f>
        <v>0</v>
      </c>
      <c r="F191" s="716">
        <f>F134+F135+F136+F163+F167+F168+F182</f>
        <v>0</v>
      </c>
      <c r="G191" s="716">
        <f>G134+G135+G136+G163+G167+G168+G182</f>
        <v>0</v>
      </c>
      <c r="H191" s="716">
        <f>H134+H135+H136+H163+H167+H168+H182</f>
        <v>0</v>
      </c>
      <c r="I191" s="716">
        <f>I134+I135+I136+I161+I162+I163+I182</f>
        <v>3031.31</v>
      </c>
      <c r="J191" s="716">
        <f>J134+J135+J136+J161+J162+J163+J182</f>
        <v>22554.9</v>
      </c>
      <c r="K191" s="762"/>
      <c r="L191" s="49"/>
    </row>
    <row r="192" spans="1:16" s="763" customFormat="1" ht="19.5" customHeight="1">
      <c r="A192" s="757"/>
      <c r="B192" s="758"/>
      <c r="C192" s="764">
        <v>2021</v>
      </c>
      <c r="D192" s="716">
        <f>D183+D166+D165+D164+D139+D138+D137</f>
        <v>24638.04706</v>
      </c>
      <c r="E192" s="716">
        <f>E183+E166+E165+E164+E139+E138+E137</f>
        <v>0</v>
      </c>
      <c r="F192" s="716">
        <f>F183+F166+F165+F164+F139+F138+F137</f>
        <v>0</v>
      </c>
      <c r="G192" s="716">
        <f>G183+G166+G165+G164+G139+G138+G137</f>
        <v>0</v>
      </c>
      <c r="H192" s="716">
        <f>H183+H166+H165+H164+H139+H138+H137</f>
        <v>0</v>
      </c>
      <c r="I192" s="716">
        <f>I183+I166+I165+I164+I139+I138+I137</f>
        <v>4012.2690599999996</v>
      </c>
      <c r="J192" s="716">
        <f>J183+J166+J165+J164+J139+J138+J137</f>
        <v>20625.778</v>
      </c>
      <c r="K192" s="762"/>
      <c r="L192" s="49"/>
      <c r="P192" s="767"/>
    </row>
    <row r="193" spans="1:12" s="763" customFormat="1" ht="19.5" customHeight="1">
      <c r="A193" s="757"/>
      <c r="B193" s="758"/>
      <c r="C193" s="764">
        <v>2022</v>
      </c>
      <c r="D193" s="768">
        <f>D140+D167+D184</f>
        <v>23837.2678</v>
      </c>
      <c r="E193" s="769">
        <f>E140+E167+E184</f>
        <v>0</v>
      </c>
      <c r="F193" s="769">
        <f>F140+F167+F184</f>
        <v>0</v>
      </c>
      <c r="G193" s="769">
        <f>G140+G167+G184</f>
        <v>0</v>
      </c>
      <c r="H193" s="769">
        <f>H140+H167+H184</f>
        <v>0</v>
      </c>
      <c r="I193" s="768">
        <f>I140+I141+I142+I167+I168+I169+I184</f>
        <v>3837.2678</v>
      </c>
      <c r="J193" s="769">
        <f>J140+J141+J142+J167+J168+J169+J184</f>
        <v>20000</v>
      </c>
      <c r="K193" s="762"/>
      <c r="L193" s="49"/>
    </row>
    <row r="194" spans="1:14" s="763" customFormat="1" ht="19.5" customHeight="1">
      <c r="A194" s="757"/>
      <c r="B194" s="758"/>
      <c r="C194" s="764">
        <v>2023</v>
      </c>
      <c r="D194" s="769">
        <f>D143+D170+D185</f>
        <v>23938.039</v>
      </c>
      <c r="E194" s="769">
        <f>E143+E170+E185</f>
        <v>0</v>
      </c>
      <c r="F194" s="769">
        <f>F143+F170+F185</f>
        <v>0</v>
      </c>
      <c r="G194" s="769">
        <f>G143+G170+G185</f>
        <v>0</v>
      </c>
      <c r="H194" s="769">
        <f>H143+H170+H185</f>
        <v>0</v>
      </c>
      <c r="I194" s="769">
        <f>I143+I144+I145+I170+I171+I172+I185</f>
        <v>3938.0389999999998</v>
      </c>
      <c r="J194" s="769">
        <f aca="true" t="shared" si="13" ref="J194:J196">J143+J144+J145+J170+J171+J172+J185</f>
        <v>20000</v>
      </c>
      <c r="K194" s="762"/>
      <c r="L194" s="49"/>
      <c r="N194" s="770"/>
    </row>
    <row r="195" spans="1:14" s="763" customFormat="1" ht="19.5" customHeight="1">
      <c r="A195" s="757"/>
      <c r="B195" s="758"/>
      <c r="C195" s="764">
        <v>2024</v>
      </c>
      <c r="D195" s="769">
        <f>D146+D173+D186</f>
        <v>23453.7</v>
      </c>
      <c r="E195" s="769">
        <f>E146+E173+E186</f>
        <v>0</v>
      </c>
      <c r="F195" s="769">
        <f>F146+F173+F186</f>
        <v>0</v>
      </c>
      <c r="G195" s="769">
        <f>G146+G173+G186</f>
        <v>0</v>
      </c>
      <c r="H195" s="769">
        <f>H146+H173+H186</f>
        <v>0</v>
      </c>
      <c r="I195" s="769">
        <f>I146+I147+I148+I173+I174+I175+I186</f>
        <v>3453.7000000000003</v>
      </c>
      <c r="J195" s="769">
        <f t="shared" si="13"/>
        <v>20000</v>
      </c>
      <c r="K195" s="762"/>
      <c r="L195" s="49"/>
      <c r="N195" s="770"/>
    </row>
    <row r="196" spans="1:12" s="763" customFormat="1" ht="19.5" customHeight="1">
      <c r="A196" s="757"/>
      <c r="B196" s="758"/>
      <c r="C196" s="764">
        <v>2025</v>
      </c>
      <c r="D196" s="769">
        <f>D149+D176+D187</f>
        <v>23453.7</v>
      </c>
      <c r="E196" s="769">
        <f>E149+E176+E187</f>
        <v>0</v>
      </c>
      <c r="F196" s="769">
        <f>F149+F176+F187</f>
        <v>0</v>
      </c>
      <c r="G196" s="769">
        <f>G149+G176+G187</f>
        <v>0</v>
      </c>
      <c r="H196" s="769">
        <f>H149+H176+H187</f>
        <v>0</v>
      </c>
      <c r="I196" s="769">
        <f>I149+I150+I151+I176+I177+I178+I187</f>
        <v>3453.7000000000003</v>
      </c>
      <c r="J196" s="769">
        <f t="shared" si="13"/>
        <v>20000</v>
      </c>
      <c r="K196" s="762"/>
      <c r="L196" s="49"/>
    </row>
    <row r="197" spans="1:12" s="763" customFormat="1" ht="30.75" customHeight="1">
      <c r="A197" s="771"/>
      <c r="B197" s="429" t="s">
        <v>459</v>
      </c>
      <c r="C197" s="772" t="s">
        <v>460</v>
      </c>
      <c r="D197" s="773">
        <f>SUM(D198:D206)</f>
        <v>306416.33351</v>
      </c>
      <c r="E197" s="773">
        <f>SUM(E198:E206)</f>
        <v>0</v>
      </c>
      <c r="F197" s="773">
        <f>SUM(F198:F206)</f>
        <v>56281.8</v>
      </c>
      <c r="G197" s="773">
        <f>SUM(G198:G206)</f>
        <v>44522.700000000004</v>
      </c>
      <c r="H197" s="773">
        <f>SUM(H198:H206)</f>
        <v>11759.100000000002</v>
      </c>
      <c r="I197" s="773">
        <f>SUM(I198:I206)</f>
        <v>64855.68151</v>
      </c>
      <c r="J197" s="773">
        <f>SUM(J198:J206)</f>
        <v>185278.852</v>
      </c>
      <c r="K197" s="762"/>
      <c r="L197" s="49"/>
    </row>
    <row r="198" spans="1:12" s="763" customFormat="1" ht="19.5" customHeight="1">
      <c r="A198" s="771"/>
      <c r="B198" s="429"/>
      <c r="C198" s="36">
        <v>2017</v>
      </c>
      <c r="D198" s="773">
        <f aca="true" t="shared" si="14" ref="D198:D202">D113+D188</f>
        <v>26096.412000000004</v>
      </c>
      <c r="E198" s="774">
        <f aca="true" t="shared" si="15" ref="E198:E206">E113+E188</f>
        <v>0</v>
      </c>
      <c r="F198" s="775">
        <f aca="true" t="shared" si="16" ref="F198:F199">G198+H198</f>
        <v>2078</v>
      </c>
      <c r="G198" s="774">
        <f aca="true" t="shared" si="17" ref="G198:G206">G113+G188</f>
        <v>0</v>
      </c>
      <c r="H198" s="774">
        <f aca="true" t="shared" si="18" ref="H198:H206">H113+H188</f>
        <v>2078</v>
      </c>
      <c r="I198" s="774">
        <f aca="true" t="shared" si="19" ref="I198:I202">I113+I188</f>
        <v>5577.492</v>
      </c>
      <c r="J198" s="774">
        <f aca="true" t="shared" si="20" ref="J198:J206">J113+J188</f>
        <v>18440.92</v>
      </c>
      <c r="K198" s="762"/>
      <c r="L198" s="49"/>
    </row>
    <row r="199" spans="1:12" s="763" customFormat="1" ht="19.5" customHeight="1">
      <c r="A199" s="771"/>
      <c r="B199" s="429"/>
      <c r="C199" s="36">
        <v>2018</v>
      </c>
      <c r="D199" s="773">
        <f t="shared" si="14"/>
        <v>27706.082500000004</v>
      </c>
      <c r="E199" s="774">
        <f t="shared" si="15"/>
        <v>0</v>
      </c>
      <c r="F199" s="775">
        <f t="shared" si="16"/>
        <v>2215</v>
      </c>
      <c r="G199" s="774">
        <f t="shared" si="17"/>
        <v>0</v>
      </c>
      <c r="H199" s="774">
        <f t="shared" si="18"/>
        <v>2215</v>
      </c>
      <c r="I199" s="774">
        <f t="shared" si="19"/>
        <v>5066.9035</v>
      </c>
      <c r="J199" s="774">
        <f t="shared" si="20"/>
        <v>20424.179</v>
      </c>
      <c r="K199" s="762"/>
      <c r="L199" s="49"/>
    </row>
    <row r="200" spans="1:12" s="763" customFormat="1" ht="19.5" customHeight="1">
      <c r="A200" s="771"/>
      <c r="B200" s="429"/>
      <c r="C200" s="36">
        <v>2019</v>
      </c>
      <c r="D200" s="774">
        <f t="shared" si="14"/>
        <v>33302.22111</v>
      </c>
      <c r="E200" s="774">
        <f t="shared" si="15"/>
        <v>0</v>
      </c>
      <c r="F200" s="774">
        <f>F115+F190</f>
        <v>2292</v>
      </c>
      <c r="G200" s="774">
        <f t="shared" si="17"/>
        <v>0</v>
      </c>
      <c r="H200" s="774">
        <f t="shared" si="18"/>
        <v>2292</v>
      </c>
      <c r="I200" s="774">
        <f t="shared" si="19"/>
        <v>7777.14611</v>
      </c>
      <c r="J200" s="774">
        <f t="shared" si="20"/>
        <v>23233.074999999997</v>
      </c>
      <c r="K200" s="762"/>
      <c r="L200" s="49"/>
    </row>
    <row r="201" spans="1:18" s="763" customFormat="1" ht="19.5" customHeight="1">
      <c r="A201" s="771"/>
      <c r="B201" s="429"/>
      <c r="C201" s="36">
        <v>2020</v>
      </c>
      <c r="D201" s="773">
        <f t="shared" si="14"/>
        <v>35431.61</v>
      </c>
      <c r="E201" s="774">
        <f t="shared" si="15"/>
        <v>0</v>
      </c>
      <c r="F201" s="775">
        <f aca="true" t="shared" si="21" ref="F201:F202">G201+H201</f>
        <v>5924.2</v>
      </c>
      <c r="G201" s="774">
        <f t="shared" si="17"/>
        <v>3250</v>
      </c>
      <c r="H201" s="774">
        <f t="shared" si="18"/>
        <v>2674.2</v>
      </c>
      <c r="I201" s="774">
        <f t="shared" si="19"/>
        <v>6952.51</v>
      </c>
      <c r="J201" s="774">
        <f t="shared" si="20"/>
        <v>22554.9</v>
      </c>
      <c r="K201" s="762"/>
      <c r="L201" s="49"/>
      <c r="N201" s="770"/>
      <c r="P201" s="770"/>
      <c r="R201" s="770"/>
    </row>
    <row r="202" spans="1:14" s="763" customFormat="1" ht="19.5" customHeight="1">
      <c r="A202" s="771"/>
      <c r="B202" s="429"/>
      <c r="C202" s="36">
        <v>2021</v>
      </c>
      <c r="D202" s="773">
        <f t="shared" si="14"/>
        <v>36219.443060000005</v>
      </c>
      <c r="E202" s="774">
        <f t="shared" si="15"/>
        <v>0</v>
      </c>
      <c r="F202" s="775">
        <f t="shared" si="21"/>
        <v>8275.1</v>
      </c>
      <c r="G202" s="774">
        <f t="shared" si="17"/>
        <v>8041.1</v>
      </c>
      <c r="H202" s="774">
        <f t="shared" si="18"/>
        <v>234</v>
      </c>
      <c r="I202" s="774">
        <f t="shared" si="19"/>
        <v>7318.565059999999</v>
      </c>
      <c r="J202" s="774">
        <f t="shared" si="20"/>
        <v>20625.778</v>
      </c>
      <c r="K202" s="762"/>
      <c r="L202" s="49"/>
      <c r="N202" s="770"/>
    </row>
    <row r="203" spans="1:18" s="763" customFormat="1" ht="19.5" customHeight="1">
      <c r="A203" s="771"/>
      <c r="B203" s="429"/>
      <c r="C203" s="36">
        <v>2022</v>
      </c>
      <c r="D203" s="773">
        <f>D118+D193+0.00004</f>
        <v>36618.12584</v>
      </c>
      <c r="E203" s="773">
        <f t="shared" si="15"/>
        <v>0</v>
      </c>
      <c r="F203" s="773">
        <f aca="true" t="shared" si="22" ref="F203:F206">F118+F193</f>
        <v>8644.6</v>
      </c>
      <c r="G203" s="773">
        <f t="shared" si="17"/>
        <v>8092.799999999999</v>
      </c>
      <c r="H203" s="773">
        <f t="shared" si="18"/>
        <v>551.8</v>
      </c>
      <c r="I203" s="773">
        <f>I118+I193+0.00004</f>
        <v>7973.525839999999</v>
      </c>
      <c r="J203" s="773">
        <f t="shared" si="20"/>
        <v>20000</v>
      </c>
      <c r="K203" s="762"/>
      <c r="L203" s="49"/>
      <c r="N203" s="770"/>
      <c r="P203" s="770"/>
      <c r="R203" s="770"/>
    </row>
    <row r="204" spans="1:18" s="763" customFormat="1" ht="19.5" customHeight="1">
      <c r="A204" s="771"/>
      <c r="B204" s="429"/>
      <c r="C204" s="36">
        <v>2023</v>
      </c>
      <c r="D204" s="773">
        <f aca="true" t="shared" si="23" ref="D204:D206">D119+D194</f>
        <v>37498.439</v>
      </c>
      <c r="E204" s="773">
        <f t="shared" si="15"/>
        <v>0</v>
      </c>
      <c r="F204" s="773">
        <f t="shared" si="22"/>
        <v>9113.7</v>
      </c>
      <c r="G204" s="773">
        <f t="shared" si="17"/>
        <v>8532</v>
      </c>
      <c r="H204" s="773">
        <f t="shared" si="18"/>
        <v>581.7</v>
      </c>
      <c r="I204" s="773">
        <f aca="true" t="shared" si="24" ref="I204:I206">I119+I194</f>
        <v>8384.739</v>
      </c>
      <c r="J204" s="773">
        <f t="shared" si="20"/>
        <v>20000</v>
      </c>
      <c r="K204" s="762"/>
      <c r="L204" s="49"/>
      <c r="N204" s="770"/>
      <c r="P204" s="770"/>
      <c r="R204" s="770"/>
    </row>
    <row r="205" spans="1:18" s="763" customFormat="1" ht="19.5" customHeight="1">
      <c r="A205" s="771"/>
      <c r="B205" s="429"/>
      <c r="C205" s="36">
        <v>2024</v>
      </c>
      <c r="D205" s="773">
        <f t="shared" si="23"/>
        <v>36772</v>
      </c>
      <c r="E205" s="773">
        <f t="shared" si="15"/>
        <v>0</v>
      </c>
      <c r="F205" s="773">
        <f t="shared" si="22"/>
        <v>8869.6</v>
      </c>
      <c r="G205" s="773">
        <f t="shared" si="17"/>
        <v>8303.4</v>
      </c>
      <c r="H205" s="773">
        <f t="shared" si="18"/>
        <v>566.2</v>
      </c>
      <c r="I205" s="773">
        <f t="shared" si="24"/>
        <v>7902.4</v>
      </c>
      <c r="J205" s="773">
        <f t="shared" si="20"/>
        <v>20000</v>
      </c>
      <c r="K205" s="762"/>
      <c r="L205" s="49"/>
      <c r="N205" s="770"/>
      <c r="P205" s="770"/>
      <c r="R205" s="770"/>
    </row>
    <row r="206" spans="1:18" s="763" customFormat="1" ht="19.5" customHeight="1">
      <c r="A206" s="771"/>
      <c r="B206" s="429"/>
      <c r="C206" s="776">
        <v>2025</v>
      </c>
      <c r="D206" s="773">
        <f t="shared" si="23"/>
        <v>36772</v>
      </c>
      <c r="E206" s="773">
        <f t="shared" si="15"/>
        <v>0</v>
      </c>
      <c r="F206" s="773">
        <f t="shared" si="22"/>
        <v>8869.6</v>
      </c>
      <c r="G206" s="773">
        <f t="shared" si="17"/>
        <v>8303.4</v>
      </c>
      <c r="H206" s="773">
        <f t="shared" si="18"/>
        <v>566.2</v>
      </c>
      <c r="I206" s="773">
        <f t="shared" si="24"/>
        <v>7902.4</v>
      </c>
      <c r="J206" s="773">
        <f t="shared" si="20"/>
        <v>20000</v>
      </c>
      <c r="K206" s="762"/>
      <c r="L206" s="49"/>
      <c r="N206" s="770"/>
      <c r="P206" s="770"/>
      <c r="R206" s="770"/>
    </row>
    <row r="207" spans="1:12" s="763" customFormat="1" ht="19.5" customHeight="1">
      <c r="A207" s="777"/>
      <c r="B207" s="657"/>
      <c r="C207" s="778"/>
      <c r="D207" s="779"/>
      <c r="E207" s="780"/>
      <c r="F207" s="781"/>
      <c r="G207" s="780"/>
      <c r="H207" s="780"/>
      <c r="I207" s="782"/>
      <c r="J207" s="782"/>
      <c r="K207" s="783"/>
      <c r="L207" s="783"/>
    </row>
    <row r="208" spans="2:11" ht="16.5" customHeight="1">
      <c r="B208" s="784"/>
      <c r="C208" s="785"/>
      <c r="D208" s="786"/>
      <c r="E208" s="787"/>
      <c r="F208" s="787"/>
      <c r="G208" s="788"/>
      <c r="H208" s="789"/>
      <c r="I208" s="6"/>
      <c r="J208" s="6"/>
      <c r="K208" s="789"/>
    </row>
    <row r="209" spans="2:11" ht="23.25" customHeight="1">
      <c r="B209" s="6"/>
      <c r="C209" s="785"/>
      <c r="D209" s="785"/>
      <c r="E209" s="790"/>
      <c r="F209" s="790"/>
      <c r="G209" s="791"/>
      <c r="H209" s="792"/>
      <c r="I209" s="793"/>
      <c r="J209" s="793"/>
      <c r="K209" s="6"/>
    </row>
    <row r="210" spans="2:11" ht="21.75">
      <c r="B210" s="6"/>
      <c r="C210" s="785"/>
      <c r="D210" s="785"/>
      <c r="E210" s="790"/>
      <c r="F210" s="790"/>
      <c r="G210" s="791"/>
      <c r="H210" s="794"/>
      <c r="I210" s="6"/>
      <c r="J210" s="6"/>
      <c r="K210" s="6"/>
    </row>
    <row r="211" spans="2:11" ht="27.75" customHeight="1">
      <c r="B211" s="6"/>
      <c r="C211" s="785"/>
      <c r="D211" s="785"/>
      <c r="E211" s="6"/>
      <c r="F211" s="6"/>
      <c r="G211" s="791"/>
      <c r="H211" s="6"/>
      <c r="I211" s="795"/>
      <c r="J211" s="795"/>
      <c r="K211" s="6"/>
    </row>
    <row r="212" spans="2:11" ht="21.75" customHeight="1">
      <c r="B212" s="6"/>
      <c r="C212" s="785"/>
      <c r="D212" s="785"/>
      <c r="E212" s="6"/>
      <c r="F212" s="6"/>
      <c r="G212" s="791"/>
      <c r="H212" s="6"/>
      <c r="I212" s="6"/>
      <c r="J212" s="6"/>
      <c r="K212" s="6"/>
    </row>
    <row r="213" spans="2:11" ht="27.75" customHeight="1">
      <c r="B213" s="6"/>
      <c r="C213" s="796"/>
      <c r="D213" s="785"/>
      <c r="E213" s="6"/>
      <c r="F213" s="6"/>
      <c r="G213" s="791"/>
      <c r="H213" s="794"/>
      <c r="I213" s="6"/>
      <c r="J213" s="6"/>
      <c r="K213" s="6"/>
    </row>
    <row r="214" spans="2:10" ht="21" customHeight="1">
      <c r="B214" s="797"/>
      <c r="C214" s="797"/>
      <c r="D214" s="797"/>
      <c r="E214" s="797"/>
      <c r="F214" s="797"/>
      <c r="G214" s="797"/>
      <c r="H214" s="797"/>
      <c r="I214" s="797"/>
      <c r="J214" s="797"/>
    </row>
  </sheetData>
  <sheetProtection selectLockedCells="1" selectUnlockedCells="1"/>
  <mergeCells count="127">
    <mergeCell ref="I1:L1"/>
    <mergeCell ref="I2:L2"/>
    <mergeCell ref="B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H5"/>
    <mergeCell ref="I5:I8"/>
    <mergeCell ref="F6:H6"/>
    <mergeCell ref="F7:F8"/>
    <mergeCell ref="G7:H7"/>
    <mergeCell ref="B10:L10"/>
    <mergeCell ref="A11:A12"/>
    <mergeCell ref="B11:L12"/>
    <mergeCell ref="A13:A14"/>
    <mergeCell ref="B13:L13"/>
    <mergeCell ref="B14:L14"/>
    <mergeCell ref="A16:A33"/>
    <mergeCell ref="B16:B33"/>
    <mergeCell ref="L16:L30"/>
    <mergeCell ref="A34:A42"/>
    <mergeCell ref="B34:B42"/>
    <mergeCell ref="L34:L100"/>
    <mergeCell ref="A43:A59"/>
    <mergeCell ref="B43:B59"/>
    <mergeCell ref="C44:C45"/>
    <mergeCell ref="D44:D45"/>
    <mergeCell ref="C46:C47"/>
    <mergeCell ref="C48:C49"/>
    <mergeCell ref="C50:C51"/>
    <mergeCell ref="C52:C53"/>
    <mergeCell ref="C54:C55"/>
    <mergeCell ref="C56:C57"/>
    <mergeCell ref="C58:C59"/>
    <mergeCell ref="A60:A75"/>
    <mergeCell ref="B60:B75"/>
    <mergeCell ref="C62:C63"/>
    <mergeCell ref="C64:C65"/>
    <mergeCell ref="C66:C67"/>
    <mergeCell ref="C68:C69"/>
    <mergeCell ref="C70:C71"/>
    <mergeCell ref="C72:C73"/>
    <mergeCell ref="C74:C75"/>
    <mergeCell ref="A76:A91"/>
    <mergeCell ref="B76:B91"/>
    <mergeCell ref="C78:C79"/>
    <mergeCell ref="C80:C81"/>
    <mergeCell ref="C82:C83"/>
    <mergeCell ref="C84:C85"/>
    <mergeCell ref="C86:C87"/>
    <mergeCell ref="C88:C89"/>
    <mergeCell ref="C90:C91"/>
    <mergeCell ref="A92:A100"/>
    <mergeCell ref="B92:B100"/>
    <mergeCell ref="A101:A110"/>
    <mergeCell ref="B101:B110"/>
    <mergeCell ref="L101:L110"/>
    <mergeCell ref="C102:C103"/>
    <mergeCell ref="D102:D103"/>
    <mergeCell ref="K104:K106"/>
    <mergeCell ref="K107:K110"/>
    <mergeCell ref="A111:A112"/>
    <mergeCell ref="C111:C112"/>
    <mergeCell ref="A113:A121"/>
    <mergeCell ref="B113:B121"/>
    <mergeCell ref="B122:L122"/>
    <mergeCell ref="B123:L123"/>
    <mergeCell ref="B124:E124"/>
    <mergeCell ref="A125:A151"/>
    <mergeCell ref="B125:B151"/>
    <mergeCell ref="C125:C127"/>
    <mergeCell ref="D125:D127"/>
    <mergeCell ref="L125:L151"/>
    <mergeCell ref="C128:C130"/>
    <mergeCell ref="D128:D130"/>
    <mergeCell ref="C131:C133"/>
    <mergeCell ref="D131:D133"/>
    <mergeCell ref="C134:C136"/>
    <mergeCell ref="D134:D136"/>
    <mergeCell ref="C137:C139"/>
    <mergeCell ref="D137:D139"/>
    <mergeCell ref="C140:C142"/>
    <mergeCell ref="D140:D142"/>
    <mergeCell ref="C143:C145"/>
    <mergeCell ref="D143:D145"/>
    <mergeCell ref="C146:C148"/>
    <mergeCell ref="D146:D148"/>
    <mergeCell ref="C149:C151"/>
    <mergeCell ref="D149:D151"/>
    <mergeCell ref="A152:A178"/>
    <mergeCell ref="B152:B178"/>
    <mergeCell ref="C152:C154"/>
    <mergeCell ref="D152:D154"/>
    <mergeCell ref="L152:L178"/>
    <mergeCell ref="C155:C157"/>
    <mergeCell ref="D155:D157"/>
    <mergeCell ref="C158:C160"/>
    <mergeCell ref="D158:D160"/>
    <mergeCell ref="C161:C163"/>
    <mergeCell ref="D161:D163"/>
    <mergeCell ref="C164:C166"/>
    <mergeCell ref="D164:D166"/>
    <mergeCell ref="C167:C169"/>
    <mergeCell ref="D167:D169"/>
    <mergeCell ref="C170:C172"/>
    <mergeCell ref="D170:D172"/>
    <mergeCell ref="C173:C175"/>
    <mergeCell ref="D173:D175"/>
    <mergeCell ref="C176:C178"/>
    <mergeCell ref="D176:D178"/>
    <mergeCell ref="A179:A187"/>
    <mergeCell ref="B179:B187"/>
    <mergeCell ref="K179:K183"/>
    <mergeCell ref="L179:L187"/>
    <mergeCell ref="K184:K187"/>
    <mergeCell ref="A188:A196"/>
    <mergeCell ref="B188:B196"/>
    <mergeCell ref="K188:K206"/>
    <mergeCell ref="L188:L206"/>
    <mergeCell ref="A197:A206"/>
    <mergeCell ref="B197:B206"/>
  </mergeCells>
  <printOptions/>
  <pageMargins left="0.7875" right="0.7875" top="1.0527777777777778" bottom="1.0527777777777778" header="0.7875" footer="0.7875"/>
  <pageSetup horizontalDpi="300" verticalDpi="300" orientation="portrait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08"/>
  <sheetViews>
    <sheetView view="pageBreakPreview" zoomScale="65" zoomScaleSheetLayoutView="65" workbookViewId="0" topLeftCell="A1">
      <selection activeCell="I6" sqref="I6"/>
    </sheetView>
  </sheetViews>
  <sheetFormatPr defaultColWidth="9.00390625" defaultRowHeight="12.75"/>
  <cols>
    <col min="1" max="1" width="6.125" style="687" customWidth="1"/>
    <col min="2" max="2" width="35.375" style="687" customWidth="1"/>
    <col min="3" max="3" width="20.375" style="687" customWidth="1"/>
    <col min="4" max="4" width="20.875" style="687" customWidth="1"/>
    <col min="5" max="5" width="12.875" style="687" customWidth="1"/>
    <col min="6" max="6" width="15.375" style="687" customWidth="1"/>
    <col min="7" max="7" width="14.50390625" style="687" customWidth="1"/>
    <col min="8" max="8" width="18.375" style="687" customWidth="1"/>
    <col min="9" max="9" width="18.125" style="687" customWidth="1"/>
    <col min="10" max="10" width="17.375" style="687" customWidth="1"/>
    <col min="11" max="11" width="26.375" style="687" customWidth="1"/>
    <col min="12" max="12" width="44.50390625" style="687" customWidth="1"/>
    <col min="13" max="14" width="9.125" style="687" customWidth="1"/>
    <col min="15" max="15" width="4.375" style="687" customWidth="1"/>
    <col min="16" max="252" width="9.125" style="687" customWidth="1"/>
  </cols>
  <sheetData>
    <row r="1" spans="1:12" ht="16.5" customHeight="1">
      <c r="A1" s="798"/>
      <c r="B1" s="799"/>
      <c r="C1" s="799"/>
      <c r="D1" s="799"/>
      <c r="E1" s="799"/>
      <c r="F1" s="799"/>
      <c r="G1" s="799"/>
      <c r="H1" s="799"/>
      <c r="I1" s="800"/>
      <c r="J1" s="801" t="s">
        <v>461</v>
      </c>
      <c r="K1" s="801"/>
      <c r="L1" s="801"/>
    </row>
    <row r="2" spans="1:12" ht="16.5" customHeight="1">
      <c r="A2" s="798"/>
      <c r="B2" s="802"/>
      <c r="C2" s="802"/>
      <c r="D2" s="802"/>
      <c r="E2" s="802"/>
      <c r="F2" s="802"/>
      <c r="G2" s="802"/>
      <c r="H2" s="802"/>
      <c r="I2" s="801" t="s">
        <v>462</v>
      </c>
      <c r="J2" s="801"/>
      <c r="K2" s="801"/>
      <c r="L2" s="801"/>
    </row>
    <row r="3" spans="1:12" ht="18.75" customHeight="1">
      <c r="A3" s="803"/>
      <c r="B3" s="804"/>
      <c r="C3" s="805"/>
      <c r="D3" s="806"/>
      <c r="E3" s="805" t="s">
        <v>463</v>
      </c>
      <c r="F3" s="805"/>
      <c r="G3" s="805"/>
      <c r="H3" s="805"/>
      <c r="I3" s="805"/>
      <c r="J3" s="805"/>
      <c r="K3" s="804"/>
      <c r="L3" s="807"/>
    </row>
    <row r="4" spans="1:12" ht="15" customHeight="1">
      <c r="A4" s="808" t="s">
        <v>464</v>
      </c>
      <c r="B4" s="809" t="s">
        <v>465</v>
      </c>
      <c r="C4" s="809" t="s">
        <v>466</v>
      </c>
      <c r="D4" s="810" t="s">
        <v>6</v>
      </c>
      <c r="E4" s="811" t="s">
        <v>7</v>
      </c>
      <c r="F4" s="811"/>
      <c r="G4" s="811"/>
      <c r="H4" s="811"/>
      <c r="I4" s="811"/>
      <c r="J4" s="810" t="s">
        <v>8</v>
      </c>
      <c r="K4" s="809" t="s">
        <v>467</v>
      </c>
      <c r="L4" s="812" t="s">
        <v>468</v>
      </c>
    </row>
    <row r="5" spans="1:12" ht="15" customHeight="1">
      <c r="A5" s="808"/>
      <c r="B5" s="809"/>
      <c r="C5" s="809"/>
      <c r="D5" s="810"/>
      <c r="E5" s="36" t="s">
        <v>11</v>
      </c>
      <c r="F5" s="813" t="s">
        <v>419</v>
      </c>
      <c r="G5" s="813"/>
      <c r="H5" s="813"/>
      <c r="I5" s="813"/>
      <c r="J5" s="810"/>
      <c r="K5" s="809"/>
      <c r="L5" s="812"/>
    </row>
    <row r="6" spans="1:12" ht="30" customHeight="1">
      <c r="A6" s="808"/>
      <c r="B6" s="809"/>
      <c r="C6" s="809"/>
      <c r="D6" s="810"/>
      <c r="E6" s="36"/>
      <c r="F6" s="814" t="s">
        <v>13</v>
      </c>
      <c r="G6" s="814"/>
      <c r="H6" s="814"/>
      <c r="I6" s="36" t="s">
        <v>14</v>
      </c>
      <c r="J6" s="810"/>
      <c r="K6" s="809"/>
      <c r="L6" s="812"/>
    </row>
    <row r="7" spans="1:12" ht="15" customHeight="1">
      <c r="A7" s="808"/>
      <c r="B7" s="809"/>
      <c r="C7" s="809"/>
      <c r="D7" s="810"/>
      <c r="E7" s="36"/>
      <c r="F7" s="815" t="s">
        <v>15</v>
      </c>
      <c r="G7" s="813" t="s">
        <v>16</v>
      </c>
      <c r="H7" s="813"/>
      <c r="I7" s="36"/>
      <c r="J7" s="810"/>
      <c r="K7" s="809"/>
      <c r="L7" s="812"/>
    </row>
    <row r="8" spans="1:12" ht="30" customHeight="1">
      <c r="A8" s="808"/>
      <c r="B8" s="809"/>
      <c r="C8" s="809"/>
      <c r="D8" s="810"/>
      <c r="E8" s="36"/>
      <c r="F8" s="815"/>
      <c r="G8" s="36" t="s">
        <v>469</v>
      </c>
      <c r="H8" s="816" t="s">
        <v>470</v>
      </c>
      <c r="I8" s="36"/>
      <c r="J8" s="810"/>
      <c r="K8" s="809"/>
      <c r="L8" s="812"/>
    </row>
    <row r="9" spans="1:12" s="807" customFormat="1" ht="15.75" customHeight="1">
      <c r="A9" s="817">
        <v>1</v>
      </c>
      <c r="B9" s="704">
        <v>2</v>
      </c>
      <c r="C9" s="704">
        <v>3</v>
      </c>
      <c r="D9" s="704"/>
      <c r="E9" s="704">
        <v>5</v>
      </c>
      <c r="F9" s="704">
        <v>6</v>
      </c>
      <c r="G9" s="704">
        <v>7</v>
      </c>
      <c r="H9" s="704">
        <v>8</v>
      </c>
      <c r="I9" s="704">
        <v>9</v>
      </c>
      <c r="J9" s="704"/>
      <c r="K9" s="704">
        <v>11</v>
      </c>
      <c r="L9" s="818">
        <v>12</v>
      </c>
    </row>
    <row r="10" spans="1:12" ht="24" customHeight="1">
      <c r="A10" s="819" t="s">
        <v>471</v>
      </c>
      <c r="B10" s="819"/>
      <c r="C10" s="819"/>
      <c r="D10" s="819"/>
      <c r="E10" s="819"/>
      <c r="F10" s="819"/>
      <c r="G10" s="819"/>
      <c r="H10" s="819"/>
      <c r="I10" s="819"/>
      <c r="J10" s="819"/>
      <c r="K10" s="819"/>
      <c r="L10" s="819"/>
    </row>
    <row r="11" spans="1:12" s="653" customFormat="1" ht="15.75" customHeight="1">
      <c r="A11" s="820" t="s">
        <v>472</v>
      </c>
      <c r="B11" s="820"/>
      <c r="C11" s="820"/>
      <c r="D11" s="820"/>
      <c r="E11" s="820"/>
      <c r="F11" s="820"/>
      <c r="G11" s="820"/>
      <c r="H11" s="820"/>
      <c r="I11" s="820"/>
      <c r="J11" s="820"/>
      <c r="K11" s="820"/>
      <c r="L11" s="820"/>
    </row>
    <row r="12" spans="1:12" s="653" customFormat="1" ht="16.5" customHeight="1">
      <c r="A12" s="820" t="s">
        <v>473</v>
      </c>
      <c r="B12" s="820"/>
      <c r="C12" s="820"/>
      <c r="D12" s="820"/>
      <c r="E12" s="820"/>
      <c r="F12" s="820"/>
      <c r="G12" s="820"/>
      <c r="H12" s="820"/>
      <c r="I12" s="820"/>
      <c r="J12" s="820"/>
      <c r="K12" s="820"/>
      <c r="L12" s="820"/>
    </row>
    <row r="13" spans="1:12" s="653" customFormat="1" ht="17.25" customHeight="1">
      <c r="A13" s="821" t="s">
        <v>60</v>
      </c>
      <c r="B13" s="294" t="s">
        <v>474</v>
      </c>
      <c r="C13" s="764">
        <v>2017</v>
      </c>
      <c r="D13" s="765">
        <f>E13+H13+I13+J13</f>
        <v>821.482</v>
      </c>
      <c r="E13" s="765"/>
      <c r="F13" s="765">
        <f>G13+H13</f>
        <v>355</v>
      </c>
      <c r="G13" s="765"/>
      <c r="H13" s="822">
        <v>355</v>
      </c>
      <c r="I13" s="822">
        <v>341.482</v>
      </c>
      <c r="J13" s="822">
        <v>125</v>
      </c>
      <c r="K13" s="78" t="s">
        <v>26</v>
      </c>
      <c r="L13" s="259" t="s">
        <v>475</v>
      </c>
    </row>
    <row r="14" spans="1:12" s="653" customFormat="1" ht="17.25" customHeight="1">
      <c r="A14" s="821"/>
      <c r="B14" s="294"/>
      <c r="C14" s="764"/>
      <c r="D14" s="765"/>
      <c r="E14" s="765"/>
      <c r="F14" s="765"/>
      <c r="G14" s="765"/>
      <c r="H14" s="822"/>
      <c r="I14" s="822"/>
      <c r="J14" s="822"/>
      <c r="K14" s="78" t="s">
        <v>27</v>
      </c>
      <c r="L14" s="259"/>
    </row>
    <row r="15" spans="1:12" s="653" customFormat="1" ht="17.25" customHeight="1">
      <c r="A15" s="821"/>
      <c r="B15" s="294"/>
      <c r="C15" s="764"/>
      <c r="D15" s="765"/>
      <c r="E15" s="765"/>
      <c r="F15" s="765"/>
      <c r="G15" s="765"/>
      <c r="H15" s="822"/>
      <c r="I15" s="822"/>
      <c r="J15" s="822"/>
      <c r="K15" s="78" t="s">
        <v>102</v>
      </c>
      <c r="L15" s="259"/>
    </row>
    <row r="16" spans="1:12" s="653" customFormat="1" ht="17.25" customHeight="1">
      <c r="A16" s="821"/>
      <c r="B16" s="294"/>
      <c r="C16" s="764">
        <v>2018</v>
      </c>
      <c r="D16" s="765">
        <v>936.281</v>
      </c>
      <c r="E16" s="822"/>
      <c r="F16" s="822">
        <f aca="true" t="shared" si="0" ref="F16:F30">G16+H16</f>
        <v>263</v>
      </c>
      <c r="G16" s="822"/>
      <c r="H16" s="822">
        <v>263</v>
      </c>
      <c r="I16" s="822">
        <v>277.757</v>
      </c>
      <c r="J16" s="822">
        <v>113</v>
      </c>
      <c r="K16" s="78" t="s">
        <v>26</v>
      </c>
      <c r="L16" s="259"/>
    </row>
    <row r="17" spans="1:12" s="653" customFormat="1" ht="18" customHeight="1">
      <c r="A17" s="821"/>
      <c r="B17" s="294"/>
      <c r="C17" s="764"/>
      <c r="D17" s="765"/>
      <c r="E17" s="822"/>
      <c r="F17" s="822">
        <f t="shared" si="0"/>
        <v>110</v>
      </c>
      <c r="G17" s="822"/>
      <c r="H17" s="822">
        <v>110</v>
      </c>
      <c r="I17" s="822">
        <v>82.524</v>
      </c>
      <c r="J17" s="822">
        <v>90</v>
      </c>
      <c r="K17" s="78" t="s">
        <v>27</v>
      </c>
      <c r="L17" s="259"/>
    </row>
    <row r="18" spans="1:12" s="653" customFormat="1" ht="18" customHeight="1">
      <c r="A18" s="821"/>
      <c r="B18" s="294"/>
      <c r="C18" s="764"/>
      <c r="D18" s="765"/>
      <c r="E18" s="822"/>
      <c r="F18" s="822">
        <f t="shared" si="0"/>
        <v>0</v>
      </c>
      <c r="G18" s="822"/>
      <c r="H18" s="822"/>
      <c r="I18" s="822"/>
      <c r="J18" s="822"/>
      <c r="K18" s="78" t="s">
        <v>476</v>
      </c>
      <c r="L18" s="259"/>
    </row>
    <row r="19" spans="1:12" s="653" customFormat="1" ht="18.75" customHeight="1">
      <c r="A19" s="821"/>
      <c r="B19" s="294"/>
      <c r="C19" s="764">
        <v>2019</v>
      </c>
      <c r="D19" s="765">
        <f aca="true" t="shared" si="1" ref="D19:D30">E19+F19+I19+J19</f>
        <v>882.7570000000001</v>
      </c>
      <c r="E19" s="765"/>
      <c r="F19" s="765">
        <f t="shared" si="0"/>
        <v>380</v>
      </c>
      <c r="G19" s="765"/>
      <c r="H19" s="765">
        <f>H20+H21</f>
        <v>380</v>
      </c>
      <c r="I19" s="765">
        <v>377.757</v>
      </c>
      <c r="J19" s="765">
        <f>J20+J21</f>
        <v>125</v>
      </c>
      <c r="K19" s="823"/>
      <c r="L19" s="259"/>
    </row>
    <row r="20" spans="1:12" s="653" customFormat="1" ht="19.5" customHeight="1">
      <c r="A20" s="821"/>
      <c r="B20" s="294"/>
      <c r="C20" s="764"/>
      <c r="D20" s="765">
        <f t="shared" si="1"/>
        <v>581.172</v>
      </c>
      <c r="E20" s="822"/>
      <c r="F20" s="822">
        <f t="shared" si="0"/>
        <v>260.96</v>
      </c>
      <c r="G20" s="822"/>
      <c r="H20" s="822">
        <v>260.96</v>
      </c>
      <c r="I20" s="822">
        <f>253.212</f>
        <v>253.212</v>
      </c>
      <c r="J20" s="822">
        <v>67</v>
      </c>
      <c r="K20" s="78" t="s">
        <v>26</v>
      </c>
      <c r="L20" s="259"/>
    </row>
    <row r="21" spans="1:12" s="653" customFormat="1" ht="24" customHeight="1">
      <c r="A21" s="821"/>
      <c r="B21" s="294"/>
      <c r="C21" s="764"/>
      <c r="D21" s="765">
        <f t="shared" si="1"/>
        <v>301.58500000000004</v>
      </c>
      <c r="E21" s="822"/>
      <c r="F21" s="822">
        <f t="shared" si="0"/>
        <v>119.04</v>
      </c>
      <c r="G21" s="822"/>
      <c r="H21" s="822">
        <v>119.04</v>
      </c>
      <c r="I21" s="822">
        <v>124.545</v>
      </c>
      <c r="J21" s="822">
        <v>58</v>
      </c>
      <c r="K21" s="78" t="s">
        <v>27</v>
      </c>
      <c r="L21" s="259"/>
    </row>
    <row r="22" spans="1:12" s="653" customFormat="1" ht="18" customHeight="1">
      <c r="A22" s="821"/>
      <c r="B22" s="294"/>
      <c r="C22" s="708">
        <v>2020</v>
      </c>
      <c r="D22" s="765">
        <f t="shared" si="1"/>
        <v>609.7</v>
      </c>
      <c r="E22" s="765">
        <f>E23+E24</f>
        <v>0</v>
      </c>
      <c r="F22" s="765">
        <f t="shared" si="0"/>
        <v>436.1</v>
      </c>
      <c r="G22" s="765">
        <f>G23+G24</f>
        <v>0</v>
      </c>
      <c r="H22" s="765">
        <f>H24+H23</f>
        <v>436.1</v>
      </c>
      <c r="I22" s="765">
        <f>I24+I23</f>
        <v>173.60000000000002</v>
      </c>
      <c r="J22" s="765">
        <f>J24+J23</f>
        <v>0</v>
      </c>
      <c r="K22" s="824"/>
      <c r="L22" s="259"/>
    </row>
    <row r="23" spans="1:12" s="653" customFormat="1" ht="18" customHeight="1">
      <c r="A23" s="821"/>
      <c r="B23" s="294"/>
      <c r="C23" s="708"/>
      <c r="D23" s="765">
        <f t="shared" si="1"/>
        <v>442.01</v>
      </c>
      <c r="E23" s="822"/>
      <c r="F23" s="822">
        <f t="shared" si="0"/>
        <v>292.2</v>
      </c>
      <c r="G23" s="822"/>
      <c r="H23" s="822">
        <v>292.2</v>
      </c>
      <c r="I23" s="822">
        <f>253.212+0.46-105.072+34.972-0.4-33.362</f>
        <v>149.81</v>
      </c>
      <c r="J23" s="822"/>
      <c r="K23" s="78" t="s">
        <v>26</v>
      </c>
      <c r="L23" s="259"/>
    </row>
    <row r="24" spans="1:12" s="653" customFormat="1" ht="18" customHeight="1">
      <c r="A24" s="821"/>
      <c r="B24" s="294"/>
      <c r="C24" s="708"/>
      <c r="D24" s="765">
        <f t="shared" si="1"/>
        <v>167.69</v>
      </c>
      <c r="E24" s="822"/>
      <c r="F24" s="822">
        <f t="shared" si="0"/>
        <v>143.9</v>
      </c>
      <c r="G24" s="822"/>
      <c r="H24" s="822">
        <v>143.9</v>
      </c>
      <c r="I24" s="822">
        <f>124.545-103.045+42.081-39.791</f>
        <v>23.790000000000006</v>
      </c>
      <c r="J24" s="822"/>
      <c r="K24" s="78" t="s">
        <v>27</v>
      </c>
      <c r="L24" s="259"/>
    </row>
    <row r="25" spans="1:12" s="653" customFormat="1" ht="18" customHeight="1">
      <c r="A25" s="821"/>
      <c r="B25" s="294"/>
      <c r="C25" s="708">
        <v>2021</v>
      </c>
      <c r="D25" s="765">
        <f t="shared" si="1"/>
        <v>1180.3725</v>
      </c>
      <c r="E25" s="765">
        <f>E26+E27</f>
        <v>0</v>
      </c>
      <c r="F25" s="765">
        <f t="shared" si="0"/>
        <v>699.53</v>
      </c>
      <c r="G25" s="765">
        <f>G26+G27</f>
        <v>0</v>
      </c>
      <c r="H25" s="765">
        <f>H26+H27</f>
        <v>699.53</v>
      </c>
      <c r="I25" s="765">
        <f>I26+I27</f>
        <v>480.8425</v>
      </c>
      <c r="J25" s="765">
        <f>J26+J27</f>
        <v>0</v>
      </c>
      <c r="K25" s="825"/>
      <c r="L25" s="259"/>
    </row>
    <row r="26" spans="1:12" s="653" customFormat="1" ht="18" customHeight="1">
      <c r="A26" s="821"/>
      <c r="B26" s="294"/>
      <c r="C26" s="708"/>
      <c r="D26" s="765">
        <f t="shared" si="1"/>
        <v>783.96</v>
      </c>
      <c r="E26" s="822"/>
      <c r="F26" s="822">
        <f t="shared" si="0"/>
        <v>463.2</v>
      </c>
      <c r="G26" s="822"/>
      <c r="H26" s="822">
        <v>463.2</v>
      </c>
      <c r="I26" s="822">
        <f>69.21379+251.54621</f>
        <v>320.76</v>
      </c>
      <c r="J26" s="822"/>
      <c r="K26" s="78" t="s">
        <v>26</v>
      </c>
      <c r="L26" s="259"/>
    </row>
    <row r="27" spans="1:12" s="653" customFormat="1" ht="18" customHeight="1">
      <c r="A27" s="821"/>
      <c r="B27" s="294"/>
      <c r="C27" s="708"/>
      <c r="D27" s="765">
        <f t="shared" si="1"/>
        <v>396.4125</v>
      </c>
      <c r="E27" s="822"/>
      <c r="F27" s="822">
        <f t="shared" si="0"/>
        <v>236.33</v>
      </c>
      <c r="G27" s="822"/>
      <c r="H27" s="822">
        <v>236.33</v>
      </c>
      <c r="I27" s="822">
        <f>35.31365+124.76885</f>
        <v>160.0825</v>
      </c>
      <c r="J27" s="822"/>
      <c r="K27" s="78" t="s">
        <v>27</v>
      </c>
      <c r="L27" s="259"/>
    </row>
    <row r="28" spans="1:12" s="653" customFormat="1" ht="18" customHeight="1">
      <c r="A28" s="821"/>
      <c r="B28" s="294"/>
      <c r="C28" s="708">
        <v>2022</v>
      </c>
      <c r="D28" s="765">
        <f t="shared" si="1"/>
        <v>1374.9315</v>
      </c>
      <c r="E28" s="765">
        <f>E29+E30</f>
        <v>0</v>
      </c>
      <c r="F28" s="765">
        <f t="shared" si="0"/>
        <v>584.413</v>
      </c>
      <c r="G28" s="765">
        <f>G29+G30</f>
        <v>0</v>
      </c>
      <c r="H28" s="765">
        <f>H29+H30</f>
        <v>584.413</v>
      </c>
      <c r="I28" s="765">
        <f>I29+I30</f>
        <v>790.5184999999999</v>
      </c>
      <c r="J28" s="765">
        <f>J29+J30</f>
        <v>0</v>
      </c>
      <c r="K28" s="824"/>
      <c r="L28" s="259"/>
    </row>
    <row r="29" spans="1:12" s="653" customFormat="1" ht="18" customHeight="1">
      <c r="A29" s="821"/>
      <c r="B29" s="294"/>
      <c r="C29" s="708"/>
      <c r="D29" s="765">
        <f t="shared" si="1"/>
        <v>996.871</v>
      </c>
      <c r="E29" s="822"/>
      <c r="F29" s="822">
        <f t="shared" si="0"/>
        <v>370.139</v>
      </c>
      <c r="G29" s="822"/>
      <c r="H29" s="822">
        <v>370.139</v>
      </c>
      <c r="I29" s="822">
        <v>626.732</v>
      </c>
      <c r="J29" s="822">
        <v>0</v>
      </c>
      <c r="K29" s="78" t="s">
        <v>26</v>
      </c>
      <c r="L29" s="259"/>
    </row>
    <row r="30" spans="1:12" s="653" customFormat="1" ht="18" customHeight="1">
      <c r="A30" s="821"/>
      <c r="B30" s="294"/>
      <c r="C30" s="708"/>
      <c r="D30" s="765">
        <f t="shared" si="1"/>
        <v>378.0605</v>
      </c>
      <c r="E30" s="822"/>
      <c r="F30" s="822">
        <f t="shared" si="0"/>
        <v>214.274</v>
      </c>
      <c r="G30" s="822"/>
      <c r="H30" s="822">
        <v>214.274</v>
      </c>
      <c r="I30" s="822">
        <v>163.7865</v>
      </c>
      <c r="J30" s="822">
        <v>0</v>
      </c>
      <c r="K30" s="78" t="s">
        <v>27</v>
      </c>
      <c r="L30" s="259"/>
    </row>
    <row r="31" spans="1:12" s="653" customFormat="1" ht="18" customHeight="1">
      <c r="A31" s="821"/>
      <c r="B31" s="294"/>
      <c r="C31" s="708">
        <v>2023</v>
      </c>
      <c r="D31" s="765">
        <f>D32+D33</f>
        <v>1315.08</v>
      </c>
      <c r="E31" s="765">
        <f>E32+E33</f>
        <v>0</v>
      </c>
      <c r="F31" s="765">
        <f>F32+F33</f>
        <v>834.4190000000001</v>
      </c>
      <c r="G31" s="765">
        <f>G32+G33</f>
        <v>0</v>
      </c>
      <c r="H31" s="765">
        <f>H32+H33</f>
        <v>834.4190000000001</v>
      </c>
      <c r="I31" s="765">
        <f>I32+I33</f>
        <v>480.661</v>
      </c>
      <c r="J31" s="765">
        <f>J32+J33</f>
        <v>0</v>
      </c>
      <c r="K31" s="826"/>
      <c r="L31" s="259"/>
    </row>
    <row r="32" spans="1:12" s="653" customFormat="1" ht="18" customHeight="1">
      <c r="A32" s="821"/>
      <c r="B32" s="294"/>
      <c r="C32" s="708"/>
      <c r="D32" s="765">
        <f aca="true" t="shared" si="2" ref="D32:D33">E32+F32+I32+J32</f>
        <v>872.52</v>
      </c>
      <c r="E32" s="822"/>
      <c r="F32" s="822">
        <f aca="true" t="shared" si="3" ref="F32:F33">G32+H32</f>
        <v>545.864</v>
      </c>
      <c r="G32" s="822"/>
      <c r="H32" s="822">
        <v>545.864</v>
      </c>
      <c r="I32" s="822">
        <f>245.59384+81.06216</f>
        <v>326.656</v>
      </c>
      <c r="J32" s="822"/>
      <c r="K32" s="78" t="s">
        <v>26</v>
      </c>
      <c r="L32" s="259"/>
    </row>
    <row r="33" spans="1:12" s="653" customFormat="1" ht="18" customHeight="1">
      <c r="A33" s="821"/>
      <c r="B33" s="294"/>
      <c r="C33" s="708"/>
      <c r="D33" s="765">
        <f t="shared" si="2"/>
        <v>442.56</v>
      </c>
      <c r="E33" s="822"/>
      <c r="F33" s="822">
        <f t="shared" si="3"/>
        <v>288.555</v>
      </c>
      <c r="G33" s="822"/>
      <c r="H33" s="822">
        <v>288.555</v>
      </c>
      <c r="I33" s="822">
        <f>109.813+44.192</f>
        <v>154.005</v>
      </c>
      <c r="J33" s="822"/>
      <c r="K33" s="78" t="s">
        <v>27</v>
      </c>
      <c r="L33" s="259"/>
    </row>
    <row r="34" spans="1:12" s="653" customFormat="1" ht="18" customHeight="1">
      <c r="A34" s="821"/>
      <c r="B34" s="294"/>
      <c r="C34" s="708">
        <v>2024</v>
      </c>
      <c r="D34" s="765">
        <f>D35+D36</f>
        <v>620.65</v>
      </c>
      <c r="E34" s="822"/>
      <c r="F34" s="765">
        <f>F35+F36</f>
        <v>547.2</v>
      </c>
      <c r="G34" s="765">
        <f>G35+G36</f>
        <v>0</v>
      </c>
      <c r="H34" s="765">
        <f>H35+H36</f>
        <v>547.2</v>
      </c>
      <c r="I34" s="765">
        <f>I35+I36</f>
        <v>73.45</v>
      </c>
      <c r="J34" s="822"/>
      <c r="K34" s="78"/>
      <c r="L34" s="259"/>
    </row>
    <row r="35" spans="1:12" s="653" customFormat="1" ht="18" customHeight="1">
      <c r="A35" s="821"/>
      <c r="B35" s="294"/>
      <c r="C35" s="708"/>
      <c r="D35" s="765">
        <f aca="true" t="shared" si="4" ref="D35:D36">E35+F35+I35+J35</f>
        <v>399.15</v>
      </c>
      <c r="E35" s="822"/>
      <c r="F35" s="822">
        <f aca="true" t="shared" si="5" ref="F35:F36">G35+H35</f>
        <v>347.2</v>
      </c>
      <c r="G35" s="822"/>
      <c r="H35" s="822">
        <v>347.2</v>
      </c>
      <c r="I35" s="822">
        <v>51.95</v>
      </c>
      <c r="J35" s="822"/>
      <c r="K35" s="78" t="s">
        <v>26</v>
      </c>
      <c r="L35" s="259"/>
    </row>
    <row r="36" spans="1:12" s="653" customFormat="1" ht="18" customHeight="1">
      <c r="A36" s="821"/>
      <c r="B36" s="294"/>
      <c r="C36" s="708"/>
      <c r="D36" s="765">
        <f t="shared" si="4"/>
        <v>221.5</v>
      </c>
      <c r="E36" s="822"/>
      <c r="F36" s="822">
        <f t="shared" si="5"/>
        <v>200</v>
      </c>
      <c r="G36" s="822"/>
      <c r="H36" s="822">
        <v>200</v>
      </c>
      <c r="I36" s="822">
        <v>21.5</v>
      </c>
      <c r="J36" s="822"/>
      <c r="K36" s="78" t="s">
        <v>27</v>
      </c>
      <c r="L36" s="259"/>
    </row>
    <row r="37" spans="1:12" s="653" customFormat="1" ht="18" customHeight="1">
      <c r="A37" s="821"/>
      <c r="B37" s="294"/>
      <c r="C37" s="708">
        <v>2025</v>
      </c>
      <c r="D37" s="765">
        <f>D38+D39</f>
        <v>620.65</v>
      </c>
      <c r="E37" s="765">
        <f>E38+E39</f>
        <v>0</v>
      </c>
      <c r="F37" s="765">
        <f>F38+F39</f>
        <v>547.2</v>
      </c>
      <c r="G37" s="765">
        <f>G38+G39</f>
        <v>0</v>
      </c>
      <c r="H37" s="765">
        <f>H38+H39</f>
        <v>547.2</v>
      </c>
      <c r="I37" s="765">
        <f>I38+I39</f>
        <v>73.45</v>
      </c>
      <c r="J37" s="765">
        <f>J38+J39</f>
        <v>0</v>
      </c>
      <c r="K37" s="826"/>
      <c r="L37" s="259"/>
    </row>
    <row r="38" spans="1:12" s="653" customFormat="1" ht="18" customHeight="1">
      <c r="A38" s="821"/>
      <c r="B38" s="294"/>
      <c r="C38" s="708"/>
      <c r="D38" s="765">
        <f aca="true" t="shared" si="6" ref="D38:D54">E38+F38+I38+J38</f>
        <v>399.15</v>
      </c>
      <c r="E38" s="822"/>
      <c r="F38" s="822">
        <f aca="true" t="shared" si="7" ref="F38:F57">G38+H38</f>
        <v>347.2</v>
      </c>
      <c r="G38" s="822"/>
      <c r="H38" s="822">
        <v>347.2</v>
      </c>
      <c r="I38" s="822">
        <v>51.95</v>
      </c>
      <c r="J38" s="822"/>
      <c r="K38" s="78" t="s">
        <v>26</v>
      </c>
      <c r="L38" s="259"/>
    </row>
    <row r="39" spans="1:12" s="653" customFormat="1" ht="18" customHeight="1">
      <c r="A39" s="821"/>
      <c r="B39" s="294"/>
      <c r="C39" s="708"/>
      <c r="D39" s="765">
        <f t="shared" si="6"/>
        <v>221.5</v>
      </c>
      <c r="E39" s="822"/>
      <c r="F39" s="822">
        <f t="shared" si="7"/>
        <v>200</v>
      </c>
      <c r="G39" s="822"/>
      <c r="H39" s="822">
        <v>200</v>
      </c>
      <c r="I39" s="822">
        <v>21.5</v>
      </c>
      <c r="J39" s="822"/>
      <c r="K39" s="78" t="s">
        <v>27</v>
      </c>
      <c r="L39" s="259"/>
    </row>
    <row r="40" spans="1:12" s="653" customFormat="1" ht="17.25" customHeight="1">
      <c r="A40" s="821" t="s">
        <v>65</v>
      </c>
      <c r="B40" s="294" t="s">
        <v>477</v>
      </c>
      <c r="C40" s="708">
        <v>2017</v>
      </c>
      <c r="D40" s="765">
        <f t="shared" si="6"/>
        <v>642</v>
      </c>
      <c r="E40" s="765"/>
      <c r="F40" s="822">
        <f t="shared" si="7"/>
        <v>642</v>
      </c>
      <c r="G40" s="765"/>
      <c r="H40" s="822">
        <v>642</v>
      </c>
      <c r="I40" s="822"/>
      <c r="J40" s="822"/>
      <c r="K40" s="78" t="s">
        <v>478</v>
      </c>
      <c r="L40" s="827" t="s">
        <v>479</v>
      </c>
    </row>
    <row r="41" spans="1:12" s="653" customFormat="1" ht="17.25" customHeight="1">
      <c r="A41" s="821"/>
      <c r="B41" s="294"/>
      <c r="C41" s="708">
        <v>2018</v>
      </c>
      <c r="D41" s="765">
        <f t="shared" si="6"/>
        <v>642</v>
      </c>
      <c r="E41" s="822"/>
      <c r="F41" s="822">
        <f t="shared" si="7"/>
        <v>642</v>
      </c>
      <c r="G41" s="822"/>
      <c r="H41" s="822">
        <v>642</v>
      </c>
      <c r="I41" s="822"/>
      <c r="J41" s="822"/>
      <c r="K41" s="78"/>
      <c r="L41" s="827"/>
    </row>
    <row r="42" spans="1:12" s="653" customFormat="1" ht="17.25" customHeight="1">
      <c r="A42" s="821"/>
      <c r="B42" s="294"/>
      <c r="C42" s="708">
        <v>2019</v>
      </c>
      <c r="D42" s="765">
        <f t="shared" si="6"/>
        <v>717.081</v>
      </c>
      <c r="E42" s="822"/>
      <c r="F42" s="822">
        <f t="shared" si="7"/>
        <v>717.081</v>
      </c>
      <c r="G42" s="822"/>
      <c r="H42" s="822">
        <v>717.081</v>
      </c>
      <c r="I42" s="822"/>
      <c r="J42" s="822"/>
      <c r="K42" s="78"/>
      <c r="L42" s="827"/>
    </row>
    <row r="43" spans="1:12" s="653" customFormat="1" ht="17.25" customHeight="1">
      <c r="A43" s="821"/>
      <c r="B43" s="294"/>
      <c r="C43" s="764">
        <v>2020</v>
      </c>
      <c r="D43" s="765">
        <f t="shared" si="6"/>
        <v>699</v>
      </c>
      <c r="E43" s="822"/>
      <c r="F43" s="822">
        <f t="shared" si="7"/>
        <v>699</v>
      </c>
      <c r="G43" s="822"/>
      <c r="H43" s="822">
        <f>800-101</f>
        <v>699</v>
      </c>
      <c r="I43" s="822"/>
      <c r="J43" s="822"/>
      <c r="K43" s="78"/>
      <c r="L43" s="827"/>
    </row>
    <row r="44" spans="1:12" s="653" customFormat="1" ht="17.25" customHeight="1">
      <c r="A44" s="821"/>
      <c r="B44" s="294"/>
      <c r="C44" s="764">
        <v>2021</v>
      </c>
      <c r="D44" s="765">
        <f t="shared" si="6"/>
        <v>875.9</v>
      </c>
      <c r="E44" s="822"/>
      <c r="F44" s="822">
        <f t="shared" si="7"/>
        <v>762</v>
      </c>
      <c r="G44" s="822"/>
      <c r="H44" s="822">
        <v>762</v>
      </c>
      <c r="I44" s="822">
        <v>113.9</v>
      </c>
      <c r="J44" s="822"/>
      <c r="K44" s="78"/>
      <c r="L44" s="827"/>
    </row>
    <row r="45" spans="1:12" s="653" customFormat="1" ht="17.25" customHeight="1">
      <c r="A45" s="821"/>
      <c r="B45" s="294"/>
      <c r="C45" s="764">
        <v>2022</v>
      </c>
      <c r="D45" s="765">
        <f t="shared" si="6"/>
        <v>821.41</v>
      </c>
      <c r="E45" s="822"/>
      <c r="F45" s="822">
        <f t="shared" si="7"/>
        <v>714.626</v>
      </c>
      <c r="G45" s="822"/>
      <c r="H45" s="822">
        <v>714.626</v>
      </c>
      <c r="I45" s="822">
        <v>106.784</v>
      </c>
      <c r="J45" s="822"/>
      <c r="K45" s="78"/>
      <c r="L45" s="827"/>
    </row>
    <row r="46" spans="1:12" s="653" customFormat="1" ht="24.75" customHeight="1">
      <c r="A46" s="821"/>
      <c r="B46" s="294"/>
      <c r="C46" s="764">
        <v>2023</v>
      </c>
      <c r="D46" s="765">
        <f t="shared" si="6"/>
        <v>645.75</v>
      </c>
      <c r="E46" s="822"/>
      <c r="F46" s="822">
        <f t="shared" si="7"/>
        <v>561.8025</v>
      </c>
      <c r="G46" s="822"/>
      <c r="H46" s="822">
        <v>561.8025</v>
      </c>
      <c r="I46" s="822">
        <v>83.9475</v>
      </c>
      <c r="J46" s="822"/>
      <c r="K46" s="78"/>
      <c r="L46" s="827"/>
    </row>
    <row r="47" spans="1:12" s="653" customFormat="1" ht="24" customHeight="1">
      <c r="A47" s="821"/>
      <c r="B47" s="294"/>
      <c r="C47" s="764">
        <v>2024</v>
      </c>
      <c r="D47" s="765">
        <f t="shared" si="6"/>
        <v>875.9</v>
      </c>
      <c r="E47" s="822"/>
      <c r="F47" s="822">
        <f t="shared" si="7"/>
        <v>762</v>
      </c>
      <c r="G47" s="822"/>
      <c r="H47" s="822">
        <v>762</v>
      </c>
      <c r="I47" s="822">
        <v>113.9</v>
      </c>
      <c r="J47" s="822"/>
      <c r="K47" s="78"/>
      <c r="L47" s="827"/>
    </row>
    <row r="48" spans="1:12" s="653" customFormat="1" ht="22.5" customHeight="1">
      <c r="A48" s="821"/>
      <c r="B48" s="294"/>
      <c r="C48" s="764">
        <v>2025</v>
      </c>
      <c r="D48" s="765">
        <f t="shared" si="6"/>
        <v>875.9</v>
      </c>
      <c r="E48" s="822"/>
      <c r="F48" s="822">
        <f t="shared" si="7"/>
        <v>762</v>
      </c>
      <c r="G48" s="822"/>
      <c r="H48" s="822">
        <v>762</v>
      </c>
      <c r="I48" s="822">
        <v>113.9</v>
      </c>
      <c r="J48" s="822"/>
      <c r="K48" s="78"/>
      <c r="L48" s="827"/>
    </row>
    <row r="49" spans="1:12" s="653" customFormat="1" ht="17.25" customHeight="1">
      <c r="A49" s="828" t="s">
        <v>141</v>
      </c>
      <c r="B49" s="828"/>
      <c r="C49" s="708">
        <v>2017</v>
      </c>
      <c r="D49" s="765">
        <f t="shared" si="6"/>
        <v>1463.482</v>
      </c>
      <c r="E49" s="765"/>
      <c r="F49" s="765">
        <f t="shared" si="7"/>
        <v>997</v>
      </c>
      <c r="G49" s="765"/>
      <c r="H49" s="765">
        <f>H13+H40</f>
        <v>997</v>
      </c>
      <c r="I49" s="765">
        <f>I13+I40</f>
        <v>341.482</v>
      </c>
      <c r="J49" s="765">
        <f>J13+J40</f>
        <v>125</v>
      </c>
      <c r="K49" s="78"/>
      <c r="L49" s="706"/>
    </row>
    <row r="50" spans="1:12" s="653" customFormat="1" ht="16.5" customHeight="1">
      <c r="A50" s="828"/>
      <c r="B50" s="828"/>
      <c r="C50" s="708">
        <v>2018</v>
      </c>
      <c r="D50" s="765">
        <f t="shared" si="6"/>
        <v>1578.281</v>
      </c>
      <c r="E50" s="765"/>
      <c r="F50" s="765">
        <f t="shared" si="7"/>
        <v>1015</v>
      </c>
      <c r="G50" s="765"/>
      <c r="H50" s="765">
        <f>H16+H17+H41</f>
        <v>1015</v>
      </c>
      <c r="I50" s="765">
        <f>I16+I17+I41</f>
        <v>360.281</v>
      </c>
      <c r="J50" s="765">
        <f>J16+J17+J41</f>
        <v>203</v>
      </c>
      <c r="K50" s="78"/>
      <c r="L50" s="706"/>
    </row>
    <row r="51" spans="1:12" s="653" customFormat="1" ht="18" customHeight="1">
      <c r="A51" s="828"/>
      <c r="B51" s="828"/>
      <c r="C51" s="708">
        <v>2019</v>
      </c>
      <c r="D51" s="765">
        <f t="shared" si="6"/>
        <v>1599.8380000000002</v>
      </c>
      <c r="E51" s="765">
        <v>0</v>
      </c>
      <c r="F51" s="765">
        <f t="shared" si="7"/>
        <v>1097.0810000000001</v>
      </c>
      <c r="G51" s="765">
        <f aca="true" t="shared" si="8" ref="G51:G57">G19</f>
        <v>0</v>
      </c>
      <c r="H51" s="765">
        <f>H19+H42</f>
        <v>1097.0810000000001</v>
      </c>
      <c r="I51" s="765">
        <f>I19</f>
        <v>377.757</v>
      </c>
      <c r="J51" s="765">
        <f>J19</f>
        <v>125</v>
      </c>
      <c r="K51" s="78"/>
      <c r="L51" s="706"/>
    </row>
    <row r="52" spans="1:12" s="653" customFormat="1" ht="18" customHeight="1">
      <c r="A52" s="828"/>
      <c r="B52" s="828"/>
      <c r="C52" s="708">
        <v>2020</v>
      </c>
      <c r="D52" s="765">
        <f t="shared" si="6"/>
        <v>1308.6999999999998</v>
      </c>
      <c r="E52" s="765">
        <v>0</v>
      </c>
      <c r="F52" s="765">
        <f t="shared" si="7"/>
        <v>1135.1</v>
      </c>
      <c r="G52" s="765">
        <f t="shared" si="8"/>
        <v>0</v>
      </c>
      <c r="H52" s="765">
        <f>H22+H43</f>
        <v>1135.1</v>
      </c>
      <c r="I52" s="765">
        <f>I22</f>
        <v>173.60000000000002</v>
      </c>
      <c r="J52" s="765">
        <f>J22</f>
        <v>0</v>
      </c>
      <c r="K52" s="78"/>
      <c r="L52" s="706"/>
    </row>
    <row r="53" spans="1:12" s="653" customFormat="1" ht="18" customHeight="1">
      <c r="A53" s="828"/>
      <c r="B53" s="828"/>
      <c r="C53" s="708">
        <v>2021</v>
      </c>
      <c r="D53" s="765">
        <f t="shared" si="6"/>
        <v>2056.2725</v>
      </c>
      <c r="E53" s="765">
        <v>0</v>
      </c>
      <c r="F53" s="765">
        <f t="shared" si="7"/>
        <v>1461.53</v>
      </c>
      <c r="G53" s="765">
        <f t="shared" si="8"/>
        <v>0</v>
      </c>
      <c r="H53" s="765">
        <f>H25+H44</f>
        <v>1461.53</v>
      </c>
      <c r="I53" s="765">
        <f>I25+I44</f>
        <v>594.7425</v>
      </c>
      <c r="J53" s="765">
        <v>0</v>
      </c>
      <c r="K53" s="78"/>
      <c r="L53" s="706"/>
    </row>
    <row r="54" spans="1:12" s="653" customFormat="1" ht="21.75" customHeight="1">
      <c r="A54" s="828"/>
      <c r="B54" s="828"/>
      <c r="C54" s="708">
        <v>2022</v>
      </c>
      <c r="D54" s="829">
        <f t="shared" si="6"/>
        <v>2196.3415</v>
      </c>
      <c r="E54" s="829">
        <v>0</v>
      </c>
      <c r="F54" s="765">
        <f t="shared" si="7"/>
        <v>1299.039</v>
      </c>
      <c r="G54" s="765">
        <f t="shared" si="8"/>
        <v>0</v>
      </c>
      <c r="H54" s="829">
        <f>H28+H45</f>
        <v>1299.039</v>
      </c>
      <c r="I54" s="829">
        <f>I28+I45</f>
        <v>897.3024999999999</v>
      </c>
      <c r="J54" s="829">
        <v>0</v>
      </c>
      <c r="K54" s="78"/>
      <c r="L54" s="706"/>
    </row>
    <row r="55" spans="1:12" s="653" customFormat="1" ht="21.75" customHeight="1">
      <c r="A55" s="828"/>
      <c r="B55" s="828"/>
      <c r="C55" s="708">
        <v>2023</v>
      </c>
      <c r="D55" s="765">
        <f>D31+D46</f>
        <v>1960.83</v>
      </c>
      <c r="E55" s="765">
        <v>0</v>
      </c>
      <c r="F55" s="765">
        <f t="shared" si="7"/>
        <v>1396.2215</v>
      </c>
      <c r="G55" s="765">
        <f t="shared" si="8"/>
        <v>0</v>
      </c>
      <c r="H55" s="765">
        <f>H31+H46</f>
        <v>1396.2215</v>
      </c>
      <c r="I55" s="765">
        <f>I31+I46</f>
        <v>564.6085</v>
      </c>
      <c r="J55" s="765">
        <f>J31</f>
        <v>0</v>
      </c>
      <c r="K55" s="78"/>
      <c r="L55" s="706"/>
    </row>
    <row r="56" spans="1:12" s="653" customFormat="1" ht="21.75" customHeight="1">
      <c r="A56" s="828"/>
      <c r="B56" s="828"/>
      <c r="C56" s="708">
        <v>2024</v>
      </c>
      <c r="D56" s="765">
        <f>D34+D47</f>
        <v>1496.55</v>
      </c>
      <c r="E56" s="765">
        <v>0</v>
      </c>
      <c r="F56" s="765">
        <f t="shared" si="7"/>
        <v>1309.2</v>
      </c>
      <c r="G56" s="765">
        <f t="shared" si="8"/>
        <v>0</v>
      </c>
      <c r="H56" s="765">
        <f>H34+H47</f>
        <v>1309.2</v>
      </c>
      <c r="I56" s="765">
        <f>I34+I47</f>
        <v>187.35000000000002</v>
      </c>
      <c r="J56" s="765">
        <v>0</v>
      </c>
      <c r="K56" s="78"/>
      <c r="L56" s="706"/>
    </row>
    <row r="57" spans="1:12" s="653" customFormat="1" ht="21.75" customHeight="1">
      <c r="A57" s="828"/>
      <c r="B57" s="828"/>
      <c r="C57" s="708">
        <v>2025</v>
      </c>
      <c r="D57" s="765">
        <f>D37+D48</f>
        <v>1496.55</v>
      </c>
      <c r="E57" s="765">
        <v>0</v>
      </c>
      <c r="F57" s="765">
        <f t="shared" si="7"/>
        <v>1309.2</v>
      </c>
      <c r="G57" s="765">
        <f t="shared" si="8"/>
        <v>0</v>
      </c>
      <c r="H57" s="765">
        <f>H37+H48</f>
        <v>1309.2</v>
      </c>
      <c r="I57" s="765">
        <f>I37+I48</f>
        <v>187.35000000000002</v>
      </c>
      <c r="J57" s="765">
        <v>0</v>
      </c>
      <c r="K57" s="78"/>
      <c r="L57" s="706"/>
    </row>
    <row r="58" spans="1:12" s="653" customFormat="1" ht="24" customHeight="1">
      <c r="A58" s="817" t="s">
        <v>480</v>
      </c>
      <c r="B58" s="817"/>
      <c r="C58" s="817"/>
      <c r="D58" s="817"/>
      <c r="E58" s="817"/>
      <c r="F58" s="817"/>
      <c r="G58" s="817"/>
      <c r="H58" s="817"/>
      <c r="I58" s="817"/>
      <c r="J58" s="817"/>
      <c r="K58" s="817"/>
      <c r="L58" s="741"/>
    </row>
    <row r="59" spans="1:12" s="653" customFormat="1" ht="17.25" customHeight="1">
      <c r="A59" s="830" t="s">
        <v>481</v>
      </c>
      <c r="B59" s="830"/>
      <c r="C59" s="830"/>
      <c r="D59" s="830"/>
      <c r="E59" s="830"/>
      <c r="F59" s="830"/>
      <c r="G59" s="830"/>
      <c r="H59" s="830"/>
      <c r="I59" s="830"/>
      <c r="J59" s="830"/>
      <c r="K59" s="830"/>
      <c r="L59" s="741"/>
    </row>
    <row r="60" spans="1:12" s="653" customFormat="1" ht="18" customHeight="1">
      <c r="A60" s="830" t="s">
        <v>482</v>
      </c>
      <c r="B60" s="830"/>
      <c r="C60" s="830"/>
      <c r="D60" s="830"/>
      <c r="E60" s="830"/>
      <c r="F60" s="830"/>
      <c r="G60" s="830"/>
      <c r="H60" s="830"/>
      <c r="I60" s="830"/>
      <c r="J60" s="830"/>
      <c r="K60" s="830"/>
      <c r="L60" s="741"/>
    </row>
    <row r="61" spans="1:12" s="653" customFormat="1" ht="13.5" customHeight="1">
      <c r="A61" s="831" t="s">
        <v>146</v>
      </c>
      <c r="B61" s="294" t="s">
        <v>483</v>
      </c>
      <c r="C61" s="826">
        <v>2017</v>
      </c>
      <c r="D61" s="832">
        <f>I61</f>
        <v>93.28</v>
      </c>
      <c r="E61" s="294"/>
      <c r="F61" s="833">
        <f>G61+H61</f>
        <v>0</v>
      </c>
      <c r="G61" s="294"/>
      <c r="H61" s="704"/>
      <c r="I61" s="834">
        <v>93.28</v>
      </c>
      <c r="J61" s="294"/>
      <c r="K61" s="78" t="s">
        <v>484</v>
      </c>
      <c r="L61" s="259" t="s">
        <v>485</v>
      </c>
    </row>
    <row r="62" spans="1:12" s="653" customFormat="1" ht="7.5" customHeight="1">
      <c r="A62" s="831"/>
      <c r="B62" s="294"/>
      <c r="C62" s="826"/>
      <c r="D62" s="832"/>
      <c r="E62" s="294"/>
      <c r="F62" s="833"/>
      <c r="G62" s="294"/>
      <c r="H62" s="704"/>
      <c r="I62" s="834"/>
      <c r="J62" s="294"/>
      <c r="K62" s="78"/>
      <c r="L62" s="259"/>
    </row>
    <row r="63" spans="1:12" s="653" customFormat="1" ht="13.5" customHeight="1">
      <c r="A63" s="831"/>
      <c r="B63" s="294"/>
      <c r="C63" s="826">
        <v>2018</v>
      </c>
      <c r="D63" s="832">
        <f>I63</f>
        <v>110.2</v>
      </c>
      <c r="E63" s="294"/>
      <c r="F63" s="833">
        <f>G63+H63</f>
        <v>0</v>
      </c>
      <c r="G63" s="294"/>
      <c r="H63" s="704"/>
      <c r="I63" s="834">
        <v>110.2</v>
      </c>
      <c r="J63" s="294"/>
      <c r="K63" s="78"/>
      <c r="L63" s="259"/>
    </row>
    <row r="64" spans="1:12" s="653" customFormat="1" ht="9.75" customHeight="1">
      <c r="A64" s="831"/>
      <c r="B64" s="294"/>
      <c r="C64" s="826"/>
      <c r="D64" s="832"/>
      <c r="E64" s="294"/>
      <c r="F64" s="833"/>
      <c r="G64" s="294"/>
      <c r="H64" s="704"/>
      <c r="I64" s="834"/>
      <c r="J64" s="294"/>
      <c r="K64" s="78"/>
      <c r="L64" s="259"/>
    </row>
    <row r="65" spans="1:12" s="653" customFormat="1" ht="12" customHeight="1">
      <c r="A65" s="831"/>
      <c r="B65" s="294"/>
      <c r="C65" s="826">
        <v>2019</v>
      </c>
      <c r="D65" s="832">
        <f>I65</f>
        <v>97.29</v>
      </c>
      <c r="E65" s="294"/>
      <c r="F65" s="833">
        <f>G65+H65</f>
        <v>0</v>
      </c>
      <c r="G65" s="294"/>
      <c r="H65" s="704"/>
      <c r="I65" s="834">
        <v>97.29</v>
      </c>
      <c r="J65" s="294"/>
      <c r="K65" s="78"/>
      <c r="L65" s="259"/>
    </row>
    <row r="66" spans="1:12" s="653" customFormat="1" ht="15" customHeight="1">
      <c r="A66" s="831"/>
      <c r="B66" s="294"/>
      <c r="C66" s="826"/>
      <c r="D66" s="832"/>
      <c r="E66" s="294"/>
      <c r="F66" s="833"/>
      <c r="G66" s="294"/>
      <c r="H66" s="704"/>
      <c r="I66" s="834"/>
      <c r="J66" s="294"/>
      <c r="K66" s="78"/>
      <c r="L66" s="259"/>
    </row>
    <row r="67" spans="1:12" s="653" customFormat="1" ht="21" customHeight="1">
      <c r="A67" s="831"/>
      <c r="B67" s="294"/>
      <c r="C67" s="826">
        <v>2020</v>
      </c>
      <c r="D67" s="832">
        <f aca="true" t="shared" si="9" ref="D67:D72">H67+I67+J67</f>
        <v>96</v>
      </c>
      <c r="E67" s="314"/>
      <c r="F67" s="78">
        <f aca="true" t="shared" si="10" ref="F67:F70">G67+H67</f>
        <v>0</v>
      </c>
      <c r="G67" s="314"/>
      <c r="H67" s="704"/>
      <c r="I67" s="834">
        <f>97.3-1.3</f>
        <v>96</v>
      </c>
      <c r="J67" s="294"/>
      <c r="K67" s="78"/>
      <c r="L67" s="259"/>
    </row>
    <row r="68" spans="1:12" s="653" customFormat="1" ht="21.75" customHeight="1">
      <c r="A68" s="831"/>
      <c r="B68" s="294"/>
      <c r="C68" s="826">
        <v>2021</v>
      </c>
      <c r="D68" s="832">
        <f t="shared" si="9"/>
        <v>96</v>
      </c>
      <c r="E68" s="314"/>
      <c r="F68" s="78">
        <f t="shared" si="10"/>
        <v>0</v>
      </c>
      <c r="G68" s="314"/>
      <c r="H68" s="704"/>
      <c r="I68" s="834">
        <v>96</v>
      </c>
      <c r="J68" s="294"/>
      <c r="K68" s="78"/>
      <c r="L68" s="259"/>
    </row>
    <row r="69" spans="1:12" s="653" customFormat="1" ht="22.5" customHeight="1">
      <c r="A69" s="831"/>
      <c r="B69" s="294"/>
      <c r="C69" s="826">
        <v>2022</v>
      </c>
      <c r="D69" s="832">
        <f t="shared" si="9"/>
        <v>97.3</v>
      </c>
      <c r="E69" s="314"/>
      <c r="F69" s="78">
        <f t="shared" si="10"/>
        <v>0</v>
      </c>
      <c r="G69" s="314"/>
      <c r="H69" s="704"/>
      <c r="I69" s="834">
        <v>97.3</v>
      </c>
      <c r="J69" s="294"/>
      <c r="K69" s="78"/>
      <c r="L69" s="259"/>
    </row>
    <row r="70" spans="1:12" s="653" customFormat="1" ht="22.5" customHeight="1">
      <c r="A70" s="831"/>
      <c r="B70" s="294"/>
      <c r="C70" s="826">
        <v>2023</v>
      </c>
      <c r="D70" s="832">
        <f t="shared" si="9"/>
        <v>88</v>
      </c>
      <c r="E70" s="314"/>
      <c r="F70" s="78">
        <f t="shared" si="10"/>
        <v>0</v>
      </c>
      <c r="G70" s="314"/>
      <c r="H70" s="704"/>
      <c r="I70" s="834">
        <v>88</v>
      </c>
      <c r="J70" s="294"/>
      <c r="K70" s="78"/>
      <c r="L70" s="259"/>
    </row>
    <row r="71" spans="1:12" s="653" customFormat="1" ht="22.5" customHeight="1">
      <c r="A71" s="831"/>
      <c r="B71" s="294"/>
      <c r="C71" s="826">
        <v>2024</v>
      </c>
      <c r="D71" s="832">
        <f t="shared" si="9"/>
        <v>0</v>
      </c>
      <c r="E71" s="314"/>
      <c r="F71" s="78"/>
      <c r="G71" s="314"/>
      <c r="H71" s="704"/>
      <c r="I71" s="834">
        <v>0</v>
      </c>
      <c r="J71" s="294"/>
      <c r="K71" s="78"/>
      <c r="L71" s="259"/>
    </row>
    <row r="72" spans="1:12" s="653" customFormat="1" ht="22.5" customHeight="1">
      <c r="A72" s="831"/>
      <c r="B72" s="294"/>
      <c r="C72" s="826">
        <v>2025</v>
      </c>
      <c r="D72" s="832">
        <f t="shared" si="9"/>
        <v>0</v>
      </c>
      <c r="E72" s="314"/>
      <c r="F72" s="78"/>
      <c r="G72" s="314"/>
      <c r="H72" s="704"/>
      <c r="I72" s="834">
        <v>0</v>
      </c>
      <c r="J72" s="294"/>
      <c r="K72" s="78"/>
      <c r="L72" s="259"/>
    </row>
    <row r="73" spans="1:12" s="653" customFormat="1" ht="24" customHeight="1">
      <c r="A73" s="831" t="s">
        <v>285</v>
      </c>
      <c r="B73" s="294" t="s">
        <v>486</v>
      </c>
      <c r="C73" s="826">
        <v>2017</v>
      </c>
      <c r="D73" s="832">
        <f aca="true" t="shared" si="11" ref="D73:D81">H73+I73</f>
        <v>40</v>
      </c>
      <c r="E73" s="78"/>
      <c r="F73" s="78">
        <f aca="true" t="shared" si="12" ref="F73:F82">G73+H73</f>
        <v>0</v>
      </c>
      <c r="G73" s="78"/>
      <c r="H73" s="834"/>
      <c r="I73" s="834">
        <v>40</v>
      </c>
      <c r="J73" s="294"/>
      <c r="K73" s="78" t="s">
        <v>487</v>
      </c>
      <c r="L73" s="706" t="s">
        <v>488</v>
      </c>
    </row>
    <row r="74" spans="1:12" s="653" customFormat="1" ht="48.75" customHeight="1">
      <c r="A74" s="831"/>
      <c r="B74" s="294"/>
      <c r="C74" s="826">
        <v>2018</v>
      </c>
      <c r="D74" s="832">
        <f t="shared" si="11"/>
        <v>40</v>
      </c>
      <c r="E74" s="78"/>
      <c r="F74" s="78">
        <f t="shared" si="12"/>
        <v>0</v>
      </c>
      <c r="G74" s="78"/>
      <c r="H74" s="835"/>
      <c r="I74" s="834">
        <v>40</v>
      </c>
      <c r="J74" s="314"/>
      <c r="K74" s="78"/>
      <c r="L74" s="706"/>
    </row>
    <row r="75" spans="1:12" s="653" customFormat="1" ht="27" customHeight="1">
      <c r="A75" s="831"/>
      <c r="B75" s="294"/>
      <c r="C75" s="826">
        <v>2019</v>
      </c>
      <c r="D75" s="832">
        <f t="shared" si="11"/>
        <v>52.2</v>
      </c>
      <c r="E75" s="78"/>
      <c r="F75" s="78">
        <f t="shared" si="12"/>
        <v>0</v>
      </c>
      <c r="G75" s="78"/>
      <c r="H75" s="835">
        <v>0</v>
      </c>
      <c r="I75" s="832">
        <f>40+12.2</f>
        <v>52.2</v>
      </c>
      <c r="J75" s="314"/>
      <c r="K75" s="78"/>
      <c r="L75" s="706"/>
    </row>
    <row r="76" spans="1:12" s="653" customFormat="1" ht="22.5" customHeight="1">
      <c r="A76" s="831"/>
      <c r="B76" s="294"/>
      <c r="C76" s="826">
        <v>2020</v>
      </c>
      <c r="D76" s="832">
        <f t="shared" si="11"/>
        <v>0</v>
      </c>
      <c r="E76" s="78"/>
      <c r="F76" s="78">
        <f t="shared" si="12"/>
        <v>0</v>
      </c>
      <c r="G76" s="78"/>
      <c r="H76" s="835"/>
      <c r="I76" s="832">
        <f>60-60</f>
        <v>0</v>
      </c>
      <c r="J76" s="294"/>
      <c r="K76" s="78"/>
      <c r="L76" s="706"/>
    </row>
    <row r="77" spans="1:12" s="653" customFormat="1" ht="22.5" customHeight="1">
      <c r="A77" s="831"/>
      <c r="B77" s="294"/>
      <c r="C77" s="826">
        <v>2021</v>
      </c>
      <c r="D77" s="832">
        <f t="shared" si="11"/>
        <v>0</v>
      </c>
      <c r="E77" s="78"/>
      <c r="F77" s="78">
        <f t="shared" si="12"/>
        <v>0</v>
      </c>
      <c r="G77" s="78"/>
      <c r="H77" s="835">
        <v>0</v>
      </c>
      <c r="I77" s="834">
        <v>0</v>
      </c>
      <c r="J77" s="314"/>
      <c r="K77" s="78"/>
      <c r="L77" s="706"/>
    </row>
    <row r="78" spans="1:12" s="653" customFormat="1" ht="65.25" customHeight="1">
      <c r="A78" s="831"/>
      <c r="B78" s="294"/>
      <c r="C78" s="826">
        <v>2022</v>
      </c>
      <c r="D78" s="832">
        <f t="shared" si="11"/>
        <v>0</v>
      </c>
      <c r="E78" s="78"/>
      <c r="F78" s="78">
        <f t="shared" si="12"/>
        <v>0</v>
      </c>
      <c r="G78" s="78"/>
      <c r="H78" s="835">
        <v>0</v>
      </c>
      <c r="I78" s="834">
        <v>0</v>
      </c>
      <c r="J78" s="314"/>
      <c r="K78" s="78"/>
      <c r="L78" s="706"/>
    </row>
    <row r="79" spans="1:12" s="653" customFormat="1" ht="24.75" customHeight="1">
      <c r="A79" s="831"/>
      <c r="B79" s="294"/>
      <c r="C79" s="826">
        <v>2023</v>
      </c>
      <c r="D79" s="832">
        <f t="shared" si="11"/>
        <v>0</v>
      </c>
      <c r="E79" s="78"/>
      <c r="F79" s="78">
        <f t="shared" si="12"/>
        <v>0</v>
      </c>
      <c r="G79" s="78"/>
      <c r="H79" s="835"/>
      <c r="I79" s="834">
        <v>0</v>
      </c>
      <c r="J79" s="314"/>
      <c r="K79" s="78"/>
      <c r="L79" s="706"/>
    </row>
    <row r="80" spans="1:12" s="653" customFormat="1" ht="24.75" customHeight="1">
      <c r="A80" s="831"/>
      <c r="B80" s="294"/>
      <c r="C80" s="826">
        <v>2024</v>
      </c>
      <c r="D80" s="832">
        <f t="shared" si="11"/>
        <v>0</v>
      </c>
      <c r="E80" s="78"/>
      <c r="F80" s="78">
        <f t="shared" si="12"/>
        <v>0</v>
      </c>
      <c r="G80" s="78"/>
      <c r="H80" s="835"/>
      <c r="I80" s="834">
        <v>0</v>
      </c>
      <c r="J80" s="314"/>
      <c r="K80" s="78"/>
      <c r="L80" s="706"/>
    </row>
    <row r="81" spans="1:12" s="653" customFormat="1" ht="24.75" customHeight="1">
      <c r="A81" s="831"/>
      <c r="B81" s="294"/>
      <c r="C81" s="826">
        <v>2025</v>
      </c>
      <c r="D81" s="832">
        <f t="shared" si="11"/>
        <v>0</v>
      </c>
      <c r="E81" s="78"/>
      <c r="F81" s="78">
        <f t="shared" si="12"/>
        <v>0</v>
      </c>
      <c r="G81" s="78"/>
      <c r="H81" s="835"/>
      <c r="I81" s="834">
        <v>0</v>
      </c>
      <c r="J81" s="314"/>
      <c r="K81" s="78"/>
      <c r="L81" s="706"/>
    </row>
    <row r="82" spans="1:12" s="653" customFormat="1" ht="34.5" customHeight="1">
      <c r="A82" s="831" t="s">
        <v>294</v>
      </c>
      <c r="B82" s="294" t="s">
        <v>489</v>
      </c>
      <c r="C82" s="826" t="s">
        <v>490</v>
      </c>
      <c r="D82" s="832">
        <f>E82+F82+I82+J82</f>
        <v>0</v>
      </c>
      <c r="E82" s="826"/>
      <c r="F82" s="832">
        <f t="shared" si="12"/>
        <v>0</v>
      </c>
      <c r="G82" s="826"/>
      <c r="H82" s="834">
        <v>0</v>
      </c>
      <c r="I82" s="836">
        <v>0</v>
      </c>
      <c r="J82" s="837"/>
      <c r="K82" s="314" t="s">
        <v>491</v>
      </c>
      <c r="L82" s="706"/>
    </row>
    <row r="83" spans="1:12" s="653" customFormat="1" ht="21.75" customHeight="1">
      <c r="A83" s="106" t="s">
        <v>492</v>
      </c>
      <c r="B83" s="106"/>
      <c r="C83" s="838">
        <v>2017</v>
      </c>
      <c r="D83" s="765">
        <f aca="true" t="shared" si="13" ref="D83:D84">H83+I83+J83</f>
        <v>133.28</v>
      </c>
      <c r="E83" s="765"/>
      <c r="F83" s="765">
        <f>F63+F74+F78</f>
        <v>0</v>
      </c>
      <c r="G83" s="765"/>
      <c r="H83" s="765"/>
      <c r="I83" s="765">
        <f>I61+I73</f>
        <v>133.28</v>
      </c>
      <c r="J83" s="765"/>
      <c r="K83" s="294"/>
      <c r="L83" s="706"/>
    </row>
    <row r="84" spans="1:12" s="653" customFormat="1" ht="22.5" customHeight="1">
      <c r="A84" s="106"/>
      <c r="B84" s="106"/>
      <c r="C84" s="839">
        <v>2018</v>
      </c>
      <c r="D84" s="765">
        <f t="shared" si="13"/>
        <v>150.2</v>
      </c>
      <c r="E84" s="765"/>
      <c r="F84" s="765">
        <f>F64+F79</f>
        <v>0</v>
      </c>
      <c r="G84" s="765"/>
      <c r="H84" s="765"/>
      <c r="I84" s="765">
        <f>I63+I74</f>
        <v>150.2</v>
      </c>
      <c r="J84" s="765"/>
      <c r="K84" s="294"/>
      <c r="L84" s="706"/>
    </row>
    <row r="85" spans="1:12" s="653" customFormat="1" ht="21" customHeight="1">
      <c r="A85" s="106"/>
      <c r="B85" s="106"/>
      <c r="C85" s="838">
        <v>2019</v>
      </c>
      <c r="D85" s="765">
        <f>D65+D75+D82</f>
        <v>149.49</v>
      </c>
      <c r="E85" s="765">
        <f>E65+E75+E82</f>
        <v>0</v>
      </c>
      <c r="F85" s="765">
        <f>F65+F75+F82</f>
        <v>0</v>
      </c>
      <c r="G85" s="765">
        <f>G65+G75+G82</f>
        <v>0</v>
      </c>
      <c r="H85" s="765">
        <v>0</v>
      </c>
      <c r="I85" s="765">
        <f>I65+I75</f>
        <v>149.49</v>
      </c>
      <c r="J85" s="765">
        <v>0</v>
      </c>
      <c r="K85" s="294"/>
      <c r="L85" s="706"/>
    </row>
    <row r="86" spans="1:12" s="653" customFormat="1" ht="21" customHeight="1">
      <c r="A86" s="106"/>
      <c r="B86" s="106"/>
      <c r="C86" s="838">
        <v>2020</v>
      </c>
      <c r="D86" s="765">
        <f aca="true" t="shared" si="14" ref="D86:D89">D67+D76</f>
        <v>96</v>
      </c>
      <c r="E86" s="765">
        <f aca="true" t="shared" si="15" ref="E86:E89">E67+E76</f>
        <v>0</v>
      </c>
      <c r="F86" s="765">
        <f aca="true" t="shared" si="16" ref="F86:F89">F67+F76</f>
        <v>0</v>
      </c>
      <c r="G86" s="765">
        <f aca="true" t="shared" si="17" ref="G86:G89">G67+G76</f>
        <v>0</v>
      </c>
      <c r="H86" s="765">
        <f aca="true" t="shared" si="18" ref="H86:H89">H67+H76</f>
        <v>0</v>
      </c>
      <c r="I86" s="765">
        <f aca="true" t="shared" si="19" ref="I86:I89">I67+I76</f>
        <v>96</v>
      </c>
      <c r="J86" s="765">
        <f aca="true" t="shared" si="20" ref="J86:J89">J67+J76</f>
        <v>0</v>
      </c>
      <c r="K86" s="294"/>
      <c r="L86" s="706"/>
    </row>
    <row r="87" spans="1:12" s="653" customFormat="1" ht="21" customHeight="1">
      <c r="A87" s="106"/>
      <c r="B87" s="106"/>
      <c r="C87" s="838">
        <v>2021</v>
      </c>
      <c r="D87" s="765">
        <f t="shared" si="14"/>
        <v>96</v>
      </c>
      <c r="E87" s="765">
        <f t="shared" si="15"/>
        <v>0</v>
      </c>
      <c r="F87" s="765">
        <f t="shared" si="16"/>
        <v>0</v>
      </c>
      <c r="G87" s="765">
        <f t="shared" si="17"/>
        <v>0</v>
      </c>
      <c r="H87" s="765">
        <f t="shared" si="18"/>
        <v>0</v>
      </c>
      <c r="I87" s="765">
        <f t="shared" si="19"/>
        <v>96</v>
      </c>
      <c r="J87" s="765">
        <f t="shared" si="20"/>
        <v>0</v>
      </c>
      <c r="K87" s="294"/>
      <c r="L87" s="706"/>
    </row>
    <row r="88" spans="1:12" s="653" customFormat="1" ht="22.5" customHeight="1">
      <c r="A88" s="106"/>
      <c r="B88" s="106"/>
      <c r="C88" s="838">
        <v>2022</v>
      </c>
      <c r="D88" s="765">
        <f t="shared" si="14"/>
        <v>97.3</v>
      </c>
      <c r="E88" s="765">
        <f t="shared" si="15"/>
        <v>0</v>
      </c>
      <c r="F88" s="765">
        <f t="shared" si="16"/>
        <v>0</v>
      </c>
      <c r="G88" s="765">
        <f t="shared" si="17"/>
        <v>0</v>
      </c>
      <c r="H88" s="765">
        <f t="shared" si="18"/>
        <v>0</v>
      </c>
      <c r="I88" s="765">
        <f t="shared" si="19"/>
        <v>97.3</v>
      </c>
      <c r="J88" s="765">
        <f t="shared" si="20"/>
        <v>0</v>
      </c>
      <c r="K88" s="294"/>
      <c r="L88" s="706"/>
    </row>
    <row r="89" spans="1:12" s="653" customFormat="1" ht="22.5" customHeight="1">
      <c r="A89" s="106"/>
      <c r="B89" s="106"/>
      <c r="C89" s="838">
        <v>2023</v>
      </c>
      <c r="D89" s="765">
        <f t="shared" si="14"/>
        <v>88</v>
      </c>
      <c r="E89" s="765">
        <f t="shared" si="15"/>
        <v>0</v>
      </c>
      <c r="F89" s="765">
        <f t="shared" si="16"/>
        <v>0</v>
      </c>
      <c r="G89" s="765">
        <f t="shared" si="17"/>
        <v>0</v>
      </c>
      <c r="H89" s="765">
        <f t="shared" si="18"/>
        <v>0</v>
      </c>
      <c r="I89" s="765">
        <f t="shared" si="19"/>
        <v>88</v>
      </c>
      <c r="J89" s="765">
        <f t="shared" si="20"/>
        <v>0</v>
      </c>
      <c r="K89" s="294"/>
      <c r="L89" s="706"/>
    </row>
    <row r="90" spans="1:12" s="653" customFormat="1" ht="22.5" customHeight="1">
      <c r="A90" s="106"/>
      <c r="B90" s="106"/>
      <c r="C90" s="838">
        <v>2024</v>
      </c>
      <c r="D90" s="765">
        <f aca="true" t="shared" si="21" ref="D90:D91">D71+D81</f>
        <v>0</v>
      </c>
      <c r="E90" s="765">
        <v>0</v>
      </c>
      <c r="F90" s="765">
        <v>0</v>
      </c>
      <c r="G90" s="765">
        <v>0</v>
      </c>
      <c r="H90" s="765">
        <v>0</v>
      </c>
      <c r="I90" s="765">
        <f aca="true" t="shared" si="22" ref="I90:I91">I71+I81</f>
        <v>0</v>
      </c>
      <c r="J90" s="765">
        <f aca="true" t="shared" si="23" ref="J90:J91">J72+J81</f>
        <v>0</v>
      </c>
      <c r="K90" s="294"/>
      <c r="L90" s="706"/>
    </row>
    <row r="91" spans="1:12" s="653" customFormat="1" ht="22.5" customHeight="1">
      <c r="A91" s="106"/>
      <c r="B91" s="106"/>
      <c r="C91" s="838">
        <v>2025</v>
      </c>
      <c r="D91" s="765">
        <f t="shared" si="21"/>
        <v>0</v>
      </c>
      <c r="E91" s="765">
        <f>E75+E82</f>
        <v>0</v>
      </c>
      <c r="F91" s="765">
        <f>F75+F82</f>
        <v>0</v>
      </c>
      <c r="G91" s="765">
        <f>G75+G82</f>
        <v>0</v>
      </c>
      <c r="H91" s="765">
        <f>H75+H82</f>
        <v>0</v>
      </c>
      <c r="I91" s="765">
        <f t="shared" si="22"/>
        <v>0</v>
      </c>
      <c r="J91" s="765">
        <f t="shared" si="23"/>
        <v>0</v>
      </c>
      <c r="K91" s="294"/>
      <c r="L91" s="706"/>
    </row>
    <row r="92" spans="1:12" s="653" customFormat="1" ht="19.5" customHeight="1">
      <c r="A92" s="819" t="s">
        <v>493</v>
      </c>
      <c r="B92" s="819"/>
      <c r="C92" s="819"/>
      <c r="D92" s="819"/>
      <c r="E92" s="819"/>
      <c r="F92" s="819"/>
      <c r="G92" s="819"/>
      <c r="H92" s="819"/>
      <c r="I92" s="819"/>
      <c r="J92" s="819"/>
      <c r="K92" s="819"/>
      <c r="L92" s="819"/>
    </row>
    <row r="93" spans="1:12" s="653" customFormat="1" ht="19.5" customHeight="1">
      <c r="A93" s="820" t="s">
        <v>494</v>
      </c>
      <c r="B93" s="820"/>
      <c r="C93" s="820"/>
      <c r="D93" s="820"/>
      <c r="E93" s="820"/>
      <c r="F93" s="820"/>
      <c r="G93" s="820"/>
      <c r="H93" s="820"/>
      <c r="I93" s="820"/>
      <c r="J93" s="820"/>
      <c r="K93" s="820"/>
      <c r="L93" s="820"/>
    </row>
    <row r="94" spans="1:12" s="653" customFormat="1" ht="19.5" customHeight="1">
      <c r="A94" s="820" t="s">
        <v>495</v>
      </c>
      <c r="B94" s="820"/>
      <c r="C94" s="820"/>
      <c r="D94" s="820"/>
      <c r="E94" s="820"/>
      <c r="F94" s="820"/>
      <c r="G94" s="820"/>
      <c r="H94" s="820"/>
      <c r="I94" s="820"/>
      <c r="J94" s="820"/>
      <c r="K94" s="820"/>
      <c r="L94" s="820"/>
    </row>
    <row r="95" spans="1:12" s="653" customFormat="1" ht="19.5" customHeight="1">
      <c r="A95" s="831" t="s">
        <v>346</v>
      </c>
      <c r="B95" s="294" t="s">
        <v>496</v>
      </c>
      <c r="C95" s="826">
        <v>2017</v>
      </c>
      <c r="D95" s="832">
        <f>H95+I95+J95</f>
        <v>3256.791</v>
      </c>
      <c r="E95" s="731"/>
      <c r="F95" s="731">
        <f>G95+H95</f>
        <v>0</v>
      </c>
      <c r="G95" s="731"/>
      <c r="H95" s="736">
        <v>0</v>
      </c>
      <c r="I95" s="836">
        <v>3256.791</v>
      </c>
      <c r="J95" s="738">
        <v>0</v>
      </c>
      <c r="K95" s="412" t="s">
        <v>102</v>
      </c>
      <c r="L95" s="259" t="s">
        <v>497</v>
      </c>
    </row>
    <row r="96" spans="1:12" s="653" customFormat="1" ht="18" customHeight="1">
      <c r="A96" s="831"/>
      <c r="B96" s="294"/>
      <c r="C96" s="826"/>
      <c r="D96" s="832"/>
      <c r="E96" s="731"/>
      <c r="F96" s="731"/>
      <c r="G96" s="731"/>
      <c r="H96" s="736"/>
      <c r="I96" s="836"/>
      <c r="J96" s="738"/>
      <c r="K96" s="412"/>
      <c r="L96" s="259"/>
    </row>
    <row r="97" spans="1:12" s="653" customFormat="1" ht="18.75" customHeight="1">
      <c r="A97" s="831"/>
      <c r="B97" s="294"/>
      <c r="C97" s="826"/>
      <c r="D97" s="832"/>
      <c r="E97" s="731"/>
      <c r="F97" s="731"/>
      <c r="G97" s="731"/>
      <c r="H97" s="736"/>
      <c r="I97" s="836"/>
      <c r="J97" s="738"/>
      <c r="K97" s="412"/>
      <c r="L97" s="259"/>
    </row>
    <row r="98" spans="1:12" s="653" customFormat="1" ht="19.5" customHeight="1">
      <c r="A98" s="831"/>
      <c r="B98" s="294"/>
      <c r="C98" s="704">
        <v>2018</v>
      </c>
      <c r="D98" s="731">
        <f aca="true" t="shared" si="24" ref="D98:D111">H98+I98+J98</f>
        <v>3070.761</v>
      </c>
      <c r="E98" s="734"/>
      <c r="F98" s="731">
        <f aca="true" t="shared" si="25" ref="F98:F122">G98+H98</f>
        <v>0</v>
      </c>
      <c r="G98" s="734"/>
      <c r="H98" s="736">
        <v>0</v>
      </c>
      <c r="I98" s="710">
        <f>3553.319-482.55843</f>
        <v>3070.76057</v>
      </c>
      <c r="J98" s="738">
        <v>0</v>
      </c>
      <c r="K98" s="717" t="s">
        <v>102</v>
      </c>
      <c r="L98" s="259"/>
    </row>
    <row r="99" spans="1:12" s="653" customFormat="1" ht="19.5" customHeight="1">
      <c r="A99" s="831"/>
      <c r="B99" s="294"/>
      <c r="C99" s="704">
        <v>2019</v>
      </c>
      <c r="D99" s="731">
        <f t="shared" si="24"/>
        <v>2637.488</v>
      </c>
      <c r="E99" s="734"/>
      <c r="F99" s="731">
        <f t="shared" si="25"/>
        <v>0</v>
      </c>
      <c r="G99" s="734"/>
      <c r="H99" s="736">
        <v>0</v>
      </c>
      <c r="I99" s="710">
        <v>2637.4877</v>
      </c>
      <c r="J99" s="738">
        <v>0</v>
      </c>
      <c r="K99" s="717" t="s">
        <v>102</v>
      </c>
      <c r="L99" s="259"/>
    </row>
    <row r="100" spans="1:12" s="653" customFormat="1" ht="19.5" customHeight="1">
      <c r="A100" s="831"/>
      <c r="B100" s="294"/>
      <c r="C100" s="704">
        <v>2020</v>
      </c>
      <c r="D100" s="731">
        <f t="shared" si="24"/>
        <v>2109.819</v>
      </c>
      <c r="E100" s="734"/>
      <c r="F100" s="731">
        <f t="shared" si="25"/>
        <v>0</v>
      </c>
      <c r="G100" s="734"/>
      <c r="H100" s="736">
        <v>0</v>
      </c>
      <c r="I100" s="710">
        <f>2023.496+86.323</f>
        <v>2109.819</v>
      </c>
      <c r="J100" s="738">
        <v>0</v>
      </c>
      <c r="K100" s="717" t="s">
        <v>498</v>
      </c>
      <c r="L100" s="259"/>
    </row>
    <row r="101" spans="1:12" s="653" customFormat="1" ht="19.5" customHeight="1">
      <c r="A101" s="831"/>
      <c r="B101" s="294"/>
      <c r="C101" s="704"/>
      <c r="D101" s="731">
        <f t="shared" si="24"/>
        <v>697.4849999999999</v>
      </c>
      <c r="E101" s="734"/>
      <c r="F101" s="731">
        <f t="shared" si="25"/>
        <v>0</v>
      </c>
      <c r="G101" s="734"/>
      <c r="H101" s="736"/>
      <c r="I101" s="710">
        <f>1403.2+126.908-163-0.66-430.963-238</f>
        <v>697.4849999999999</v>
      </c>
      <c r="J101" s="738"/>
      <c r="K101" s="717" t="s">
        <v>499</v>
      </c>
      <c r="L101" s="259"/>
    </row>
    <row r="102" spans="1:12" s="653" customFormat="1" ht="19.5" customHeight="1">
      <c r="A102" s="831"/>
      <c r="B102" s="294"/>
      <c r="C102" s="704">
        <v>2021</v>
      </c>
      <c r="D102" s="731">
        <f t="shared" si="24"/>
        <v>1739.69</v>
      </c>
      <c r="E102" s="734"/>
      <c r="F102" s="731">
        <f t="shared" si="25"/>
        <v>0</v>
      </c>
      <c r="G102" s="734"/>
      <c r="H102" s="736">
        <v>0</v>
      </c>
      <c r="I102" s="710">
        <v>1739.68993</v>
      </c>
      <c r="J102" s="738">
        <v>0</v>
      </c>
      <c r="K102" s="717" t="s">
        <v>500</v>
      </c>
      <c r="L102" s="259"/>
    </row>
    <row r="103" spans="1:12" s="653" customFormat="1" ht="19.5" customHeight="1">
      <c r="A103" s="831"/>
      <c r="B103" s="294"/>
      <c r="C103" s="704"/>
      <c r="D103" s="731">
        <f t="shared" si="24"/>
        <v>608.602</v>
      </c>
      <c r="E103" s="734"/>
      <c r="F103" s="731">
        <f t="shared" si="25"/>
        <v>0</v>
      </c>
      <c r="G103" s="734"/>
      <c r="H103" s="736"/>
      <c r="I103" s="710">
        <f>353.639+488.362-233.39934</f>
        <v>608.60166</v>
      </c>
      <c r="J103" s="738"/>
      <c r="K103" s="717" t="s">
        <v>501</v>
      </c>
      <c r="L103" s="259"/>
    </row>
    <row r="104" spans="1:12" s="653" customFormat="1" ht="19.5" customHeight="1">
      <c r="A104" s="831"/>
      <c r="B104" s="294"/>
      <c r="C104" s="704">
        <v>2022</v>
      </c>
      <c r="D104" s="731">
        <f t="shared" si="24"/>
        <v>1597.705</v>
      </c>
      <c r="E104" s="734"/>
      <c r="F104" s="731">
        <f t="shared" si="25"/>
        <v>0</v>
      </c>
      <c r="G104" s="734"/>
      <c r="H104" s="736">
        <v>0</v>
      </c>
      <c r="I104" s="710">
        <v>1597.705</v>
      </c>
      <c r="J104" s="738">
        <v>0</v>
      </c>
      <c r="K104" s="717" t="s">
        <v>500</v>
      </c>
      <c r="L104" s="259"/>
    </row>
    <row r="105" spans="1:12" s="653" customFormat="1" ht="19.5" customHeight="1">
      <c r="A105" s="831"/>
      <c r="B105" s="294"/>
      <c r="C105" s="704"/>
      <c r="D105" s="731">
        <f t="shared" si="24"/>
        <v>601.369</v>
      </c>
      <c r="E105" s="734"/>
      <c r="F105" s="731">
        <f t="shared" si="25"/>
        <v>0</v>
      </c>
      <c r="G105" s="734"/>
      <c r="H105" s="736"/>
      <c r="I105" s="710">
        <v>601.369</v>
      </c>
      <c r="J105" s="738"/>
      <c r="K105" s="717" t="s">
        <v>501</v>
      </c>
      <c r="L105" s="259"/>
    </row>
    <row r="106" spans="1:12" s="653" customFormat="1" ht="19.5" customHeight="1">
      <c r="A106" s="831"/>
      <c r="B106" s="294"/>
      <c r="C106" s="704">
        <v>2023</v>
      </c>
      <c r="D106" s="840">
        <f t="shared" si="24"/>
        <v>1856.10793</v>
      </c>
      <c r="E106" s="734"/>
      <c r="F106" s="731">
        <f t="shared" si="25"/>
        <v>0</v>
      </c>
      <c r="G106" s="734"/>
      <c r="H106" s="736"/>
      <c r="I106" s="840">
        <v>1856.10793</v>
      </c>
      <c r="J106" s="738"/>
      <c r="K106" s="717" t="s">
        <v>500</v>
      </c>
      <c r="L106" s="259"/>
    </row>
    <row r="107" spans="1:12" s="653" customFormat="1" ht="19.5" customHeight="1">
      <c r="A107" s="831"/>
      <c r="B107" s="294"/>
      <c r="C107" s="704"/>
      <c r="D107" s="840">
        <f t="shared" si="24"/>
        <v>877.12497</v>
      </c>
      <c r="E107" s="840"/>
      <c r="F107" s="840">
        <f t="shared" si="25"/>
        <v>19.424</v>
      </c>
      <c r="G107" s="840"/>
      <c r="H107" s="710">
        <v>19.424</v>
      </c>
      <c r="I107" s="710">
        <v>857.70097</v>
      </c>
      <c r="J107" s="738"/>
      <c r="K107" s="717" t="s">
        <v>501</v>
      </c>
      <c r="L107" s="259"/>
    </row>
    <row r="108" spans="1:12" s="653" customFormat="1" ht="19.5" customHeight="1">
      <c r="A108" s="831"/>
      <c r="B108" s="294"/>
      <c r="C108" s="704">
        <v>2024</v>
      </c>
      <c r="D108" s="731">
        <f t="shared" si="24"/>
        <v>2937.311</v>
      </c>
      <c r="E108" s="734"/>
      <c r="F108" s="731">
        <f t="shared" si="25"/>
        <v>0</v>
      </c>
      <c r="G108" s="734"/>
      <c r="H108" s="736"/>
      <c r="I108" s="710">
        <v>2937.311</v>
      </c>
      <c r="J108" s="738"/>
      <c r="K108" s="717" t="s">
        <v>500</v>
      </c>
      <c r="L108" s="259"/>
    </row>
    <row r="109" spans="1:12" s="653" customFormat="1" ht="19.5" customHeight="1">
      <c r="A109" s="831"/>
      <c r="B109" s="294"/>
      <c r="C109" s="704"/>
      <c r="D109" s="731">
        <f t="shared" si="24"/>
        <v>1608.61</v>
      </c>
      <c r="E109" s="734"/>
      <c r="F109" s="731">
        <f t="shared" si="25"/>
        <v>0</v>
      </c>
      <c r="G109" s="734"/>
      <c r="H109" s="736"/>
      <c r="I109" s="710">
        <v>1608.61</v>
      </c>
      <c r="J109" s="738"/>
      <c r="K109" s="717" t="s">
        <v>501</v>
      </c>
      <c r="L109" s="259"/>
    </row>
    <row r="110" spans="1:12" s="653" customFormat="1" ht="19.5" customHeight="1">
      <c r="A110" s="831"/>
      <c r="B110" s="294"/>
      <c r="C110" s="704">
        <v>2025</v>
      </c>
      <c r="D110" s="731">
        <f t="shared" si="24"/>
        <v>2937.311</v>
      </c>
      <c r="E110" s="734"/>
      <c r="F110" s="731">
        <f t="shared" si="25"/>
        <v>0</v>
      </c>
      <c r="G110" s="734"/>
      <c r="H110" s="736"/>
      <c r="I110" s="710">
        <v>2937.311</v>
      </c>
      <c r="J110" s="738"/>
      <c r="K110" s="717" t="s">
        <v>500</v>
      </c>
      <c r="L110" s="259"/>
    </row>
    <row r="111" spans="1:12" s="653" customFormat="1" ht="19.5" customHeight="1">
      <c r="A111" s="831"/>
      <c r="B111" s="294"/>
      <c r="C111" s="704"/>
      <c r="D111" s="731">
        <f t="shared" si="24"/>
        <v>1608.61</v>
      </c>
      <c r="E111" s="734"/>
      <c r="F111" s="731">
        <f t="shared" si="25"/>
        <v>0</v>
      </c>
      <c r="G111" s="734"/>
      <c r="H111" s="736"/>
      <c r="I111" s="710">
        <v>1608.61</v>
      </c>
      <c r="J111" s="738"/>
      <c r="K111" s="717" t="s">
        <v>501</v>
      </c>
      <c r="L111" s="259"/>
    </row>
    <row r="112" spans="1:12" s="653" customFormat="1" ht="19.5" customHeight="1">
      <c r="A112" s="831"/>
      <c r="B112" s="294"/>
      <c r="C112" s="704"/>
      <c r="D112" s="731"/>
      <c r="E112" s="734"/>
      <c r="F112" s="731">
        <f t="shared" si="25"/>
        <v>0</v>
      </c>
      <c r="G112" s="734"/>
      <c r="H112" s="736"/>
      <c r="I112" s="710"/>
      <c r="J112" s="738"/>
      <c r="K112" s="717"/>
      <c r="L112" s="259"/>
    </row>
    <row r="113" spans="1:12" s="653" customFormat="1" ht="19.5" customHeight="1">
      <c r="A113" s="841" t="s">
        <v>502</v>
      </c>
      <c r="B113" s="294" t="s">
        <v>503</v>
      </c>
      <c r="C113" s="704">
        <v>2017</v>
      </c>
      <c r="D113" s="731">
        <f aca="true" t="shared" si="26" ref="D113:D122">H113+I113+J113</f>
        <v>4216.183</v>
      </c>
      <c r="E113" s="734"/>
      <c r="F113" s="731">
        <f t="shared" si="25"/>
        <v>400</v>
      </c>
      <c r="G113" s="734"/>
      <c r="H113" s="736">
        <v>400</v>
      </c>
      <c r="I113" s="710">
        <v>3016.183</v>
      </c>
      <c r="J113" s="738">
        <v>800</v>
      </c>
      <c r="K113" s="717" t="s">
        <v>102</v>
      </c>
      <c r="L113" s="259"/>
    </row>
    <row r="114" spans="1:12" s="653" customFormat="1" ht="19.5" customHeight="1">
      <c r="A114" s="841"/>
      <c r="B114" s="294"/>
      <c r="C114" s="704">
        <v>2018</v>
      </c>
      <c r="D114" s="731">
        <f t="shared" si="26"/>
        <v>4244.381</v>
      </c>
      <c r="E114" s="734"/>
      <c r="F114" s="731">
        <f t="shared" si="25"/>
        <v>683</v>
      </c>
      <c r="G114" s="734"/>
      <c r="H114" s="736">
        <v>683</v>
      </c>
      <c r="I114" s="710">
        <v>2446.61067</v>
      </c>
      <c r="J114" s="738">
        <v>1114.774</v>
      </c>
      <c r="K114" s="717" t="s">
        <v>102</v>
      </c>
      <c r="L114" s="259"/>
    </row>
    <row r="115" spans="1:12" s="653" customFormat="1" ht="19.5" customHeight="1">
      <c r="A115" s="841"/>
      <c r="B115" s="294"/>
      <c r="C115" s="704">
        <v>2019</v>
      </c>
      <c r="D115" s="731">
        <f t="shared" si="26"/>
        <v>5176.281</v>
      </c>
      <c r="E115" s="734"/>
      <c r="F115" s="731">
        <f t="shared" si="25"/>
        <v>585.029</v>
      </c>
      <c r="G115" s="734"/>
      <c r="H115" s="736">
        <f>721.445-136.416</f>
        <v>585.029</v>
      </c>
      <c r="I115" s="710">
        <f>3041.47163+39.4</f>
        <v>3080.87163</v>
      </c>
      <c r="J115" s="738">
        <v>1510.38</v>
      </c>
      <c r="K115" s="717" t="s">
        <v>102</v>
      </c>
      <c r="L115" s="259"/>
    </row>
    <row r="116" spans="1:12" s="653" customFormat="1" ht="19.5" customHeight="1">
      <c r="A116" s="841"/>
      <c r="B116" s="294"/>
      <c r="C116" s="704"/>
      <c r="D116" s="731">
        <f t="shared" si="26"/>
        <v>12.474</v>
      </c>
      <c r="E116" s="734"/>
      <c r="F116" s="731">
        <f t="shared" si="25"/>
        <v>12.474</v>
      </c>
      <c r="G116" s="734"/>
      <c r="H116" s="736">
        <v>12.474</v>
      </c>
      <c r="I116" s="710">
        <v>0</v>
      </c>
      <c r="J116" s="738">
        <v>0</v>
      </c>
      <c r="K116" s="717" t="s">
        <v>504</v>
      </c>
      <c r="L116" s="259"/>
    </row>
    <row r="117" spans="1:12" s="653" customFormat="1" ht="19.5" customHeight="1">
      <c r="A117" s="841"/>
      <c r="B117" s="294"/>
      <c r="C117" s="704">
        <v>2020</v>
      </c>
      <c r="D117" s="731">
        <f t="shared" si="26"/>
        <v>0</v>
      </c>
      <c r="E117" s="734"/>
      <c r="F117" s="731">
        <f t="shared" si="25"/>
        <v>0</v>
      </c>
      <c r="G117" s="734"/>
      <c r="H117" s="736">
        <f>855-855</f>
        <v>0</v>
      </c>
      <c r="I117" s="710">
        <f>127.8-127.8</f>
        <v>0</v>
      </c>
      <c r="J117" s="738">
        <f>1044-1044</f>
        <v>0</v>
      </c>
      <c r="K117" s="717" t="s">
        <v>102</v>
      </c>
      <c r="L117" s="259"/>
    </row>
    <row r="118" spans="1:12" s="653" customFormat="1" ht="19.5" customHeight="1">
      <c r="A118" s="841"/>
      <c r="B118" s="294"/>
      <c r="C118" s="704"/>
      <c r="D118" s="731">
        <f t="shared" si="26"/>
        <v>58.01799999999997</v>
      </c>
      <c r="E118" s="734"/>
      <c r="F118" s="731">
        <f t="shared" si="25"/>
        <v>0</v>
      </c>
      <c r="G118" s="734"/>
      <c r="H118" s="736"/>
      <c r="I118" s="710">
        <f>1099.925+0.2-646.302-395.805</f>
        <v>58.01799999999997</v>
      </c>
      <c r="J118" s="738"/>
      <c r="K118" s="717" t="s">
        <v>505</v>
      </c>
      <c r="L118" s="259"/>
    </row>
    <row r="119" spans="1:12" s="653" customFormat="1" ht="19.5" customHeight="1">
      <c r="A119" s="841"/>
      <c r="B119" s="294"/>
      <c r="C119" s="704"/>
      <c r="D119" s="731">
        <f t="shared" si="26"/>
        <v>0</v>
      </c>
      <c r="E119" s="734"/>
      <c r="F119" s="731">
        <f t="shared" si="25"/>
        <v>0</v>
      </c>
      <c r="G119" s="734"/>
      <c r="H119" s="736"/>
      <c r="I119" s="710">
        <f>2273.075-983.897-1289.178</f>
        <v>0</v>
      </c>
      <c r="J119" s="738"/>
      <c r="K119" s="717" t="s">
        <v>506</v>
      </c>
      <c r="L119" s="259"/>
    </row>
    <row r="120" spans="1:12" s="653" customFormat="1" ht="19.5" customHeight="1">
      <c r="A120" s="841"/>
      <c r="B120" s="294"/>
      <c r="C120" s="704">
        <v>2021</v>
      </c>
      <c r="D120" s="731">
        <f t="shared" si="26"/>
        <v>1521.153</v>
      </c>
      <c r="E120" s="734"/>
      <c r="F120" s="731">
        <f t="shared" si="25"/>
        <v>290.4</v>
      </c>
      <c r="G120" s="734"/>
      <c r="H120" s="731">
        <f>H121+H122</f>
        <v>290.4</v>
      </c>
      <c r="I120" s="840">
        <f>I121+I122</f>
        <v>762.7534</v>
      </c>
      <c r="J120" s="734">
        <v>468</v>
      </c>
      <c r="K120" s="717" t="s">
        <v>507</v>
      </c>
      <c r="L120" s="259"/>
    </row>
    <row r="121" spans="1:12" s="653" customFormat="1" ht="19.5" customHeight="1">
      <c r="A121" s="841"/>
      <c r="B121" s="294"/>
      <c r="C121" s="704"/>
      <c r="D121" s="731">
        <f t="shared" si="26"/>
        <v>419.127</v>
      </c>
      <c r="E121" s="734"/>
      <c r="F121" s="731">
        <f t="shared" si="25"/>
        <v>290.4</v>
      </c>
      <c r="G121" s="734"/>
      <c r="H121" s="736">
        <v>290.4</v>
      </c>
      <c r="I121" s="710">
        <f>128.72712</f>
        <v>128.72712</v>
      </c>
      <c r="J121" s="738"/>
      <c r="K121" s="717" t="s">
        <v>508</v>
      </c>
      <c r="L121" s="259"/>
    </row>
    <row r="122" spans="1:12" s="653" customFormat="1" ht="19.5" customHeight="1">
      <c r="A122" s="841"/>
      <c r="B122" s="294"/>
      <c r="C122" s="704"/>
      <c r="D122" s="731">
        <f t="shared" si="26"/>
        <v>634.026</v>
      </c>
      <c r="E122" s="734"/>
      <c r="F122" s="731">
        <f t="shared" si="25"/>
        <v>0</v>
      </c>
      <c r="G122" s="734"/>
      <c r="H122" s="736">
        <v>0</v>
      </c>
      <c r="I122" s="710">
        <v>634.02628</v>
      </c>
      <c r="J122" s="738"/>
      <c r="K122" s="717" t="s">
        <v>506</v>
      </c>
      <c r="L122" s="259"/>
    </row>
    <row r="123" spans="1:12" s="653" customFormat="1" ht="19.5" customHeight="1">
      <c r="A123" s="841"/>
      <c r="B123" s="294"/>
      <c r="C123" s="704">
        <v>2022</v>
      </c>
      <c r="D123" s="731">
        <f>D124+D125+D126</f>
        <v>4218.611</v>
      </c>
      <c r="E123" s="731">
        <f>E124+E125+E126</f>
        <v>0</v>
      </c>
      <c r="F123" s="731">
        <f>F124+F125+F126</f>
        <v>848.925</v>
      </c>
      <c r="G123" s="731">
        <f>G124+G125+G126</f>
        <v>0</v>
      </c>
      <c r="H123" s="731">
        <f>H124+H125+H126</f>
        <v>848.925</v>
      </c>
      <c r="I123" s="731">
        <f>I124+I125+I126</f>
        <v>2620.886</v>
      </c>
      <c r="J123" s="731">
        <f>J124+J125+J126</f>
        <v>748.8</v>
      </c>
      <c r="K123" s="717" t="s">
        <v>509</v>
      </c>
      <c r="L123" s="259"/>
    </row>
    <row r="124" spans="1:12" s="653" customFormat="1" ht="19.5" customHeight="1">
      <c r="A124" s="841"/>
      <c r="B124" s="294"/>
      <c r="C124" s="704"/>
      <c r="D124" s="840">
        <f aca="true" t="shared" si="27" ref="D124:D135">H124+I124+J124</f>
        <v>1726.35</v>
      </c>
      <c r="E124" s="734"/>
      <c r="F124" s="731">
        <f aca="true" t="shared" si="28" ref="F124:F137">G124+H124</f>
        <v>848.925</v>
      </c>
      <c r="G124" s="734"/>
      <c r="H124" s="736">
        <v>848.925</v>
      </c>
      <c r="I124" s="710">
        <v>128.625</v>
      </c>
      <c r="J124" s="738">
        <v>748.8</v>
      </c>
      <c r="K124" s="717" t="s">
        <v>509</v>
      </c>
      <c r="L124" s="259"/>
    </row>
    <row r="125" spans="1:12" s="653" customFormat="1" ht="19.5" customHeight="1">
      <c r="A125" s="841"/>
      <c r="B125" s="294"/>
      <c r="C125" s="704"/>
      <c r="D125" s="840">
        <f t="shared" si="27"/>
        <v>544.74469</v>
      </c>
      <c r="E125" s="734"/>
      <c r="F125" s="731">
        <f t="shared" si="28"/>
        <v>0</v>
      </c>
      <c r="G125" s="734"/>
      <c r="H125" s="736">
        <v>0</v>
      </c>
      <c r="I125" s="710">
        <v>544.74469</v>
      </c>
      <c r="J125" s="738"/>
      <c r="K125" s="717" t="s">
        <v>508</v>
      </c>
      <c r="L125" s="259"/>
    </row>
    <row r="126" spans="1:12" s="653" customFormat="1" ht="19.5" customHeight="1">
      <c r="A126" s="841"/>
      <c r="B126" s="294"/>
      <c r="C126" s="704"/>
      <c r="D126" s="840">
        <f t="shared" si="27"/>
        <v>1947.51667</v>
      </c>
      <c r="E126" s="734"/>
      <c r="F126" s="731">
        <f t="shared" si="28"/>
        <v>0</v>
      </c>
      <c r="G126" s="734"/>
      <c r="H126" s="736">
        <v>0</v>
      </c>
      <c r="I126" s="710">
        <v>1947.51667</v>
      </c>
      <c r="J126" s="738"/>
      <c r="K126" s="717" t="s">
        <v>506</v>
      </c>
      <c r="L126" s="259"/>
    </row>
    <row r="127" spans="1:12" s="653" customFormat="1" ht="19.5" customHeight="1">
      <c r="A127" s="841"/>
      <c r="B127" s="294"/>
      <c r="C127" s="704">
        <v>2023</v>
      </c>
      <c r="D127" s="840">
        <f t="shared" si="27"/>
        <v>943.943</v>
      </c>
      <c r="E127" s="840"/>
      <c r="F127" s="840">
        <f t="shared" si="28"/>
        <v>819.55772</v>
      </c>
      <c r="G127" s="840"/>
      <c r="H127" s="840">
        <v>819.55772</v>
      </c>
      <c r="I127" s="710">
        <v>124.38528</v>
      </c>
      <c r="J127" s="738"/>
      <c r="K127" s="717" t="s">
        <v>509</v>
      </c>
      <c r="L127" s="259"/>
    </row>
    <row r="128" spans="1:12" s="653" customFormat="1" ht="19.5" customHeight="1">
      <c r="A128" s="841"/>
      <c r="B128" s="294"/>
      <c r="C128" s="704"/>
      <c r="D128" s="840">
        <f t="shared" si="27"/>
        <v>837.67422</v>
      </c>
      <c r="E128" s="840"/>
      <c r="F128" s="840">
        <f t="shared" si="28"/>
        <v>0</v>
      </c>
      <c r="G128" s="840"/>
      <c r="H128" s="736">
        <v>0</v>
      </c>
      <c r="I128" s="710">
        <v>837.67422</v>
      </c>
      <c r="J128" s="738"/>
      <c r="K128" s="717" t="s">
        <v>508</v>
      </c>
      <c r="L128" s="259"/>
    </row>
    <row r="129" spans="1:12" s="653" customFormat="1" ht="19.5" customHeight="1">
      <c r="A129" s="841"/>
      <c r="B129" s="294"/>
      <c r="C129" s="704"/>
      <c r="D129" s="840">
        <f t="shared" si="27"/>
        <v>2059.11033</v>
      </c>
      <c r="E129" s="840"/>
      <c r="F129" s="840">
        <f t="shared" si="28"/>
        <v>0</v>
      </c>
      <c r="G129" s="840"/>
      <c r="H129" s="736">
        <v>0</v>
      </c>
      <c r="I129" s="710">
        <v>2059.11033</v>
      </c>
      <c r="J129" s="738"/>
      <c r="K129" s="717" t="s">
        <v>506</v>
      </c>
      <c r="L129" s="259"/>
    </row>
    <row r="130" spans="1:12" s="653" customFormat="1" ht="19.5" customHeight="1">
      <c r="A130" s="841"/>
      <c r="B130" s="294"/>
      <c r="C130" s="704">
        <v>2024</v>
      </c>
      <c r="D130" s="731">
        <f t="shared" si="27"/>
        <v>1161.6</v>
      </c>
      <c r="E130" s="734"/>
      <c r="F130" s="731">
        <f t="shared" si="28"/>
        <v>1010</v>
      </c>
      <c r="G130" s="734"/>
      <c r="H130" s="736">
        <v>1010</v>
      </c>
      <c r="I130" s="710">
        <v>151.6</v>
      </c>
      <c r="J130" s="738"/>
      <c r="K130" s="717" t="s">
        <v>509</v>
      </c>
      <c r="L130" s="259"/>
    </row>
    <row r="131" spans="1:12" s="653" customFormat="1" ht="19.5" customHeight="1">
      <c r="A131" s="841"/>
      <c r="B131" s="294"/>
      <c r="C131" s="704"/>
      <c r="D131" s="731">
        <f t="shared" si="27"/>
        <v>773.306</v>
      </c>
      <c r="E131" s="734"/>
      <c r="F131" s="731">
        <f t="shared" si="28"/>
        <v>0</v>
      </c>
      <c r="G131" s="734"/>
      <c r="H131" s="736">
        <v>0</v>
      </c>
      <c r="I131" s="710">
        <v>773.306</v>
      </c>
      <c r="J131" s="738"/>
      <c r="K131" s="717" t="s">
        <v>508</v>
      </c>
      <c r="L131" s="259"/>
    </row>
    <row r="132" spans="1:12" s="653" customFormat="1" ht="19.5" customHeight="1">
      <c r="A132" s="841"/>
      <c r="B132" s="294"/>
      <c r="C132" s="704"/>
      <c r="D132" s="731">
        <f t="shared" si="27"/>
        <v>2065.203</v>
      </c>
      <c r="E132" s="734"/>
      <c r="F132" s="731">
        <f t="shared" si="28"/>
        <v>0</v>
      </c>
      <c r="G132" s="734"/>
      <c r="H132" s="736">
        <v>0</v>
      </c>
      <c r="I132" s="710">
        <v>2065.203</v>
      </c>
      <c r="J132" s="738"/>
      <c r="K132" s="717" t="s">
        <v>506</v>
      </c>
      <c r="L132" s="259"/>
    </row>
    <row r="133" spans="1:12" s="653" customFormat="1" ht="19.5" customHeight="1">
      <c r="A133" s="841"/>
      <c r="B133" s="294"/>
      <c r="C133" s="704">
        <v>2025</v>
      </c>
      <c r="D133" s="731">
        <f t="shared" si="27"/>
        <v>1161.6</v>
      </c>
      <c r="E133" s="734"/>
      <c r="F133" s="731">
        <f t="shared" si="28"/>
        <v>1010</v>
      </c>
      <c r="G133" s="734"/>
      <c r="H133" s="736">
        <v>1010</v>
      </c>
      <c r="I133" s="710">
        <v>151.6</v>
      </c>
      <c r="J133" s="738"/>
      <c r="K133" s="717" t="s">
        <v>509</v>
      </c>
      <c r="L133" s="259"/>
    </row>
    <row r="134" spans="1:12" s="653" customFormat="1" ht="19.5" customHeight="1">
      <c r="A134" s="841"/>
      <c r="B134" s="294"/>
      <c r="C134" s="704"/>
      <c r="D134" s="731">
        <f t="shared" si="27"/>
        <v>773.306</v>
      </c>
      <c r="E134" s="734"/>
      <c r="F134" s="731">
        <f t="shared" si="28"/>
        <v>0</v>
      </c>
      <c r="G134" s="734"/>
      <c r="H134" s="736">
        <v>0</v>
      </c>
      <c r="I134" s="710">
        <v>773.306</v>
      </c>
      <c r="J134" s="738"/>
      <c r="K134" s="717" t="s">
        <v>508</v>
      </c>
      <c r="L134" s="259"/>
    </row>
    <row r="135" spans="1:12" s="653" customFormat="1" ht="19.5" customHeight="1">
      <c r="A135" s="841"/>
      <c r="B135" s="294"/>
      <c r="C135" s="704"/>
      <c r="D135" s="731">
        <f t="shared" si="27"/>
        <v>2065.203</v>
      </c>
      <c r="E135" s="734"/>
      <c r="F135" s="731">
        <f t="shared" si="28"/>
        <v>0</v>
      </c>
      <c r="G135" s="734"/>
      <c r="H135" s="736">
        <v>0</v>
      </c>
      <c r="I135" s="710">
        <v>2065.203</v>
      </c>
      <c r="J135" s="738"/>
      <c r="K135" s="717" t="s">
        <v>506</v>
      </c>
      <c r="L135" s="259"/>
    </row>
    <row r="136" spans="1:12" s="653" customFormat="1" ht="19.5" customHeight="1">
      <c r="A136" s="831" t="s">
        <v>376</v>
      </c>
      <c r="B136" s="294" t="s">
        <v>510</v>
      </c>
      <c r="C136" s="704">
        <v>2017</v>
      </c>
      <c r="D136" s="731">
        <f aca="true" t="shared" si="29" ref="D136:D137">E136+F136+I136+J136</f>
        <v>0</v>
      </c>
      <c r="E136" s="314"/>
      <c r="F136" s="731">
        <f t="shared" si="28"/>
        <v>0</v>
      </c>
      <c r="G136" s="314"/>
      <c r="H136" s="738">
        <v>0</v>
      </c>
      <c r="I136" s="710">
        <v>0</v>
      </c>
      <c r="J136" s="837"/>
      <c r="K136" s="717" t="s">
        <v>102</v>
      </c>
      <c r="L136" s="259" t="s">
        <v>511</v>
      </c>
    </row>
    <row r="137" spans="1:12" s="653" customFormat="1" ht="14.25" customHeight="1">
      <c r="A137" s="831"/>
      <c r="B137" s="294"/>
      <c r="C137" s="826">
        <v>2018</v>
      </c>
      <c r="D137" s="832">
        <f t="shared" si="29"/>
        <v>833.552</v>
      </c>
      <c r="E137" s="294"/>
      <c r="F137" s="832">
        <f t="shared" si="28"/>
        <v>0</v>
      </c>
      <c r="G137" s="294"/>
      <c r="H137" s="835">
        <v>0</v>
      </c>
      <c r="I137" s="836">
        <f>859.059-25.50687</f>
        <v>833.5521299999999</v>
      </c>
      <c r="J137" s="826"/>
      <c r="K137" s="78" t="s">
        <v>102</v>
      </c>
      <c r="L137" s="259"/>
    </row>
    <row r="138" spans="1:12" s="653" customFormat="1" ht="11.25" customHeight="1">
      <c r="A138" s="831"/>
      <c r="B138" s="294"/>
      <c r="C138" s="826"/>
      <c r="D138" s="832"/>
      <c r="E138" s="294"/>
      <c r="F138" s="832"/>
      <c r="G138" s="294"/>
      <c r="H138" s="835"/>
      <c r="I138" s="836"/>
      <c r="J138" s="826"/>
      <c r="K138" s="78"/>
      <c r="L138" s="259"/>
    </row>
    <row r="139" spans="1:12" s="653" customFormat="1" ht="3.75" customHeight="1">
      <c r="A139" s="831"/>
      <c r="B139" s="294"/>
      <c r="C139" s="826"/>
      <c r="D139" s="832"/>
      <c r="E139" s="294"/>
      <c r="F139" s="832"/>
      <c r="G139" s="294"/>
      <c r="H139" s="835"/>
      <c r="I139" s="836"/>
      <c r="J139" s="826"/>
      <c r="K139" s="78"/>
      <c r="L139" s="259"/>
    </row>
    <row r="140" spans="1:12" s="653" customFormat="1" ht="19.5" customHeight="1">
      <c r="A140" s="831"/>
      <c r="B140" s="294"/>
      <c r="C140" s="704">
        <v>2019</v>
      </c>
      <c r="D140" s="731">
        <f aca="true" t="shared" si="30" ref="D140:D143">E140+F140+I140+J140</f>
        <v>731</v>
      </c>
      <c r="E140" s="314"/>
      <c r="F140" s="731">
        <f aca="true" t="shared" si="31" ref="F140:F175">G140+H140</f>
        <v>0</v>
      </c>
      <c r="G140" s="314"/>
      <c r="H140" s="736">
        <v>0</v>
      </c>
      <c r="I140" s="710">
        <v>731</v>
      </c>
      <c r="J140" s="837"/>
      <c r="K140" s="717" t="s">
        <v>102</v>
      </c>
      <c r="L140" s="259"/>
    </row>
    <row r="141" spans="1:12" s="653" customFormat="1" ht="19.5" customHeight="1">
      <c r="A141" s="831"/>
      <c r="B141" s="294"/>
      <c r="C141" s="704">
        <v>2020</v>
      </c>
      <c r="D141" s="731">
        <f t="shared" si="30"/>
        <v>0</v>
      </c>
      <c r="E141" s="314"/>
      <c r="F141" s="731">
        <f t="shared" si="31"/>
        <v>0</v>
      </c>
      <c r="G141" s="314"/>
      <c r="H141" s="736">
        <v>0</v>
      </c>
      <c r="I141" s="710">
        <v>0</v>
      </c>
      <c r="J141" s="837"/>
      <c r="K141" s="717"/>
      <c r="L141" s="259"/>
    </row>
    <row r="142" spans="1:12" s="653" customFormat="1" ht="19.5" customHeight="1">
      <c r="A142" s="831"/>
      <c r="B142" s="294"/>
      <c r="C142" s="704">
        <v>2021</v>
      </c>
      <c r="D142" s="731">
        <f t="shared" si="30"/>
        <v>1181.324</v>
      </c>
      <c r="E142" s="314"/>
      <c r="F142" s="731">
        <f t="shared" si="31"/>
        <v>0</v>
      </c>
      <c r="G142" s="314"/>
      <c r="H142" s="736">
        <v>0</v>
      </c>
      <c r="I142" s="710">
        <v>1181.324</v>
      </c>
      <c r="J142" s="837"/>
      <c r="K142" s="717"/>
      <c r="L142" s="259"/>
    </row>
    <row r="143" spans="1:12" s="653" customFormat="1" ht="18.75" customHeight="1">
      <c r="A143" s="831"/>
      <c r="B143" s="294"/>
      <c r="C143" s="704">
        <v>2022</v>
      </c>
      <c r="D143" s="731">
        <f t="shared" si="30"/>
        <v>3886.2</v>
      </c>
      <c r="E143" s="314"/>
      <c r="F143" s="731">
        <f t="shared" si="31"/>
        <v>3381</v>
      </c>
      <c r="G143" s="314"/>
      <c r="H143" s="736">
        <v>3381</v>
      </c>
      <c r="I143" s="710">
        <v>505.2</v>
      </c>
      <c r="J143" s="837"/>
      <c r="K143" s="717"/>
      <c r="L143" s="259"/>
    </row>
    <row r="144" spans="1:12" s="653" customFormat="1" ht="18.75" customHeight="1">
      <c r="A144" s="831"/>
      <c r="B144" s="294"/>
      <c r="C144" s="704">
        <v>2023</v>
      </c>
      <c r="D144" s="840">
        <f>H144+I144</f>
        <v>571.88838</v>
      </c>
      <c r="E144" s="314"/>
      <c r="F144" s="840">
        <f t="shared" si="31"/>
        <v>497.56489</v>
      </c>
      <c r="G144" s="314"/>
      <c r="H144" s="840">
        <v>497.56489</v>
      </c>
      <c r="I144" s="840">
        <v>74.32349</v>
      </c>
      <c r="J144" s="837"/>
      <c r="K144" s="717"/>
      <c r="L144" s="259"/>
    </row>
    <row r="145" spans="1:12" s="653" customFormat="1" ht="21.75" customHeight="1">
      <c r="A145" s="831"/>
      <c r="B145" s="294"/>
      <c r="C145" s="704">
        <v>2024</v>
      </c>
      <c r="D145" s="731">
        <f aca="true" t="shared" si="32" ref="D145:D146">E145+F145+I145+J145</f>
        <v>1149.4</v>
      </c>
      <c r="E145" s="314"/>
      <c r="F145" s="731">
        <f t="shared" si="31"/>
        <v>1000</v>
      </c>
      <c r="G145" s="314"/>
      <c r="H145" s="736">
        <v>1000</v>
      </c>
      <c r="I145" s="710">
        <v>149.4</v>
      </c>
      <c r="J145" s="837"/>
      <c r="K145" s="717"/>
      <c r="L145" s="259"/>
    </row>
    <row r="146" spans="1:12" s="653" customFormat="1" ht="21.75" customHeight="1">
      <c r="A146" s="831"/>
      <c r="B146" s="294"/>
      <c r="C146" s="704">
        <v>2025</v>
      </c>
      <c r="D146" s="731">
        <f t="shared" si="32"/>
        <v>1149.4</v>
      </c>
      <c r="E146" s="314"/>
      <c r="F146" s="731">
        <f t="shared" si="31"/>
        <v>1000</v>
      </c>
      <c r="G146" s="314"/>
      <c r="H146" s="736">
        <v>1000</v>
      </c>
      <c r="I146" s="710">
        <v>149.4</v>
      </c>
      <c r="J146" s="837"/>
      <c r="K146" s="717"/>
      <c r="L146" s="259"/>
    </row>
    <row r="147" spans="1:12" s="653" customFormat="1" ht="19.5" customHeight="1">
      <c r="A147" s="831" t="s">
        <v>512</v>
      </c>
      <c r="B147" s="294" t="s">
        <v>513</v>
      </c>
      <c r="C147" s="704">
        <v>2017</v>
      </c>
      <c r="D147" s="832">
        <f>I147+I148</f>
        <v>677.256</v>
      </c>
      <c r="E147" s="732"/>
      <c r="F147" s="731">
        <f t="shared" si="31"/>
        <v>0</v>
      </c>
      <c r="G147" s="732"/>
      <c r="H147" s="736">
        <v>0</v>
      </c>
      <c r="I147" s="710">
        <v>372.376</v>
      </c>
      <c r="J147" s="837"/>
      <c r="K147" s="412" t="s">
        <v>158</v>
      </c>
      <c r="L147" s="259"/>
    </row>
    <row r="148" spans="1:12" s="653" customFormat="1" ht="19.5" customHeight="1">
      <c r="A148" s="831"/>
      <c r="B148" s="294"/>
      <c r="C148" s="704"/>
      <c r="D148" s="832"/>
      <c r="E148" s="732"/>
      <c r="F148" s="731">
        <f t="shared" si="31"/>
        <v>0</v>
      </c>
      <c r="G148" s="732"/>
      <c r="H148" s="736">
        <v>0</v>
      </c>
      <c r="I148" s="710">
        <v>304.88</v>
      </c>
      <c r="J148" s="837"/>
      <c r="K148" s="717" t="s">
        <v>102</v>
      </c>
      <c r="L148" s="259"/>
    </row>
    <row r="149" spans="1:12" s="653" customFormat="1" ht="19.5" customHeight="1">
      <c r="A149" s="831"/>
      <c r="B149" s="294"/>
      <c r="C149" s="704">
        <v>2018</v>
      </c>
      <c r="D149" s="832">
        <f aca="true" t="shared" si="33" ref="D149:D161">E149+F149+I149+J149</f>
        <v>662.365</v>
      </c>
      <c r="E149" s="732"/>
      <c r="F149" s="731">
        <f t="shared" si="31"/>
        <v>0</v>
      </c>
      <c r="G149" s="732"/>
      <c r="H149" s="736">
        <v>0</v>
      </c>
      <c r="I149" s="710">
        <f>698.578-36.213</f>
        <v>662.365</v>
      </c>
      <c r="J149" s="837"/>
      <c r="K149" s="717" t="s">
        <v>158</v>
      </c>
      <c r="L149" s="259"/>
    </row>
    <row r="150" spans="1:12" s="653" customFormat="1" ht="19.5" customHeight="1">
      <c r="A150" s="831"/>
      <c r="B150" s="294"/>
      <c r="C150" s="704">
        <v>2019</v>
      </c>
      <c r="D150" s="832">
        <f t="shared" si="33"/>
        <v>1186.36</v>
      </c>
      <c r="E150" s="732"/>
      <c r="F150" s="731">
        <f t="shared" si="31"/>
        <v>0</v>
      </c>
      <c r="G150" s="732"/>
      <c r="H150" s="736">
        <v>0</v>
      </c>
      <c r="I150" s="710">
        <f>1186.36019+200-200</f>
        <v>1186.36019</v>
      </c>
      <c r="J150" s="837"/>
      <c r="K150" s="717" t="s">
        <v>158</v>
      </c>
      <c r="L150" s="259"/>
    </row>
    <row r="151" spans="1:12" s="653" customFormat="1" ht="24" customHeight="1">
      <c r="A151" s="831"/>
      <c r="B151" s="294"/>
      <c r="C151" s="704">
        <v>2019</v>
      </c>
      <c r="D151" s="832">
        <f t="shared" si="33"/>
        <v>175.332</v>
      </c>
      <c r="E151" s="732"/>
      <c r="F151" s="731">
        <f t="shared" si="31"/>
        <v>0</v>
      </c>
      <c r="G151" s="732"/>
      <c r="H151" s="736">
        <v>0</v>
      </c>
      <c r="I151" s="710">
        <f>246.906-71.574</f>
        <v>175.332</v>
      </c>
      <c r="J151" s="837"/>
      <c r="K151" s="717" t="s">
        <v>514</v>
      </c>
      <c r="L151" s="259"/>
    </row>
    <row r="152" spans="1:12" s="653" customFormat="1" ht="19.5" customHeight="1">
      <c r="A152" s="831"/>
      <c r="B152" s="294"/>
      <c r="C152" s="704">
        <v>2020</v>
      </c>
      <c r="D152" s="829">
        <f t="shared" si="33"/>
        <v>867.3578099999999</v>
      </c>
      <c r="E152" s="732"/>
      <c r="F152" s="731">
        <f t="shared" si="31"/>
        <v>0</v>
      </c>
      <c r="G152" s="732"/>
      <c r="H152" s="736">
        <v>0</v>
      </c>
      <c r="I152" s="710">
        <f>1398.322-512.21819-18.746</f>
        <v>867.3578099999999</v>
      </c>
      <c r="J152" s="837"/>
      <c r="K152" s="717" t="s">
        <v>158</v>
      </c>
      <c r="L152" s="259"/>
    </row>
    <row r="153" spans="1:12" s="653" customFormat="1" ht="20.25" customHeight="1">
      <c r="A153" s="831"/>
      <c r="B153" s="294"/>
      <c r="C153" s="704">
        <v>2020</v>
      </c>
      <c r="D153" s="832">
        <f t="shared" si="33"/>
        <v>299.189</v>
      </c>
      <c r="E153" s="732"/>
      <c r="F153" s="731">
        <f t="shared" si="31"/>
        <v>0</v>
      </c>
      <c r="G153" s="732"/>
      <c r="H153" s="834">
        <v>0</v>
      </c>
      <c r="I153" s="836">
        <f>300-0.811</f>
        <v>299.189</v>
      </c>
      <c r="J153" s="837"/>
      <c r="K153" s="717" t="s">
        <v>515</v>
      </c>
      <c r="L153" s="259"/>
    </row>
    <row r="154" spans="1:12" s="653" customFormat="1" ht="24.75" customHeight="1">
      <c r="A154" s="831"/>
      <c r="B154" s="294"/>
      <c r="C154" s="704">
        <v>2021</v>
      </c>
      <c r="D154" s="832">
        <f t="shared" si="33"/>
        <v>657.75</v>
      </c>
      <c r="E154" s="732"/>
      <c r="F154" s="731">
        <f t="shared" si="31"/>
        <v>0</v>
      </c>
      <c r="G154" s="732"/>
      <c r="H154" s="731">
        <v>0</v>
      </c>
      <c r="I154" s="705">
        <f>I155+I156</f>
        <v>657.7498</v>
      </c>
      <c r="J154" s="837"/>
      <c r="K154" s="717" t="s">
        <v>158</v>
      </c>
      <c r="L154" s="259"/>
    </row>
    <row r="155" spans="1:12" s="653" customFormat="1" ht="51" customHeight="1">
      <c r="A155" s="831"/>
      <c r="B155" s="314" t="s">
        <v>516</v>
      </c>
      <c r="C155" s="704"/>
      <c r="D155" s="832">
        <f t="shared" si="33"/>
        <v>523.91</v>
      </c>
      <c r="E155" s="732"/>
      <c r="F155" s="731">
        <f t="shared" si="31"/>
        <v>0</v>
      </c>
      <c r="G155" s="732"/>
      <c r="H155" s="736">
        <v>0</v>
      </c>
      <c r="I155" s="710">
        <f>734.06-210.15017</f>
        <v>523.9098299999999</v>
      </c>
      <c r="J155" s="837"/>
      <c r="K155" s="718" t="s">
        <v>158</v>
      </c>
      <c r="L155" s="259"/>
    </row>
    <row r="156" spans="1:12" s="653" customFormat="1" ht="36.75" customHeight="1">
      <c r="A156" s="831"/>
      <c r="B156" s="411" t="s">
        <v>517</v>
      </c>
      <c r="C156" s="704"/>
      <c r="D156" s="832">
        <f t="shared" si="33"/>
        <v>133.84</v>
      </c>
      <c r="E156" s="732"/>
      <c r="F156" s="731">
        <f t="shared" si="31"/>
        <v>0</v>
      </c>
      <c r="G156" s="732"/>
      <c r="H156" s="736">
        <v>0</v>
      </c>
      <c r="I156" s="707">
        <v>133.84</v>
      </c>
      <c r="J156" s="837"/>
      <c r="K156" s="717" t="s">
        <v>102</v>
      </c>
      <c r="L156" s="259"/>
    </row>
    <row r="157" spans="1:12" s="653" customFormat="1" ht="19.5" customHeight="1">
      <c r="A157" s="831"/>
      <c r="B157" s="314"/>
      <c r="C157" s="838">
        <v>2022</v>
      </c>
      <c r="D157" s="832">
        <f t="shared" si="33"/>
        <v>0</v>
      </c>
      <c r="E157" s="732"/>
      <c r="F157" s="731">
        <f t="shared" si="31"/>
        <v>0</v>
      </c>
      <c r="G157" s="732"/>
      <c r="H157" s="736">
        <v>0</v>
      </c>
      <c r="I157" s="710">
        <v>0</v>
      </c>
      <c r="J157" s="837"/>
      <c r="K157" s="717" t="s">
        <v>158</v>
      </c>
      <c r="L157" s="259"/>
    </row>
    <row r="158" spans="1:12" s="653" customFormat="1" ht="19.5" customHeight="1">
      <c r="A158" s="831"/>
      <c r="B158" s="314"/>
      <c r="C158" s="838">
        <v>2023</v>
      </c>
      <c r="D158" s="832">
        <f t="shared" si="33"/>
        <v>0</v>
      </c>
      <c r="E158" s="732"/>
      <c r="F158" s="731">
        <f t="shared" si="31"/>
        <v>0</v>
      </c>
      <c r="G158" s="732"/>
      <c r="H158" s="736">
        <v>0</v>
      </c>
      <c r="I158" s="710">
        <v>0</v>
      </c>
      <c r="J158" s="837"/>
      <c r="K158" s="717"/>
      <c r="L158" s="259"/>
    </row>
    <row r="159" spans="1:12" s="653" customFormat="1" ht="19.5" customHeight="1">
      <c r="A159" s="831"/>
      <c r="B159" s="314"/>
      <c r="C159" s="838">
        <v>2024</v>
      </c>
      <c r="D159" s="832">
        <f t="shared" si="33"/>
        <v>0</v>
      </c>
      <c r="E159" s="732"/>
      <c r="F159" s="731">
        <f t="shared" si="31"/>
        <v>0</v>
      </c>
      <c r="G159" s="732"/>
      <c r="H159" s="736">
        <v>0</v>
      </c>
      <c r="I159" s="710">
        <v>0</v>
      </c>
      <c r="J159" s="837"/>
      <c r="K159" s="717"/>
      <c r="L159" s="259"/>
    </row>
    <row r="160" spans="1:12" s="653" customFormat="1" ht="19.5" customHeight="1">
      <c r="A160" s="831" t="s">
        <v>518</v>
      </c>
      <c r="B160" s="842" t="s">
        <v>519</v>
      </c>
      <c r="C160" s="704">
        <v>2017</v>
      </c>
      <c r="D160" s="731">
        <f t="shared" si="33"/>
        <v>144.718</v>
      </c>
      <c r="E160" s="704"/>
      <c r="F160" s="731">
        <f t="shared" si="31"/>
        <v>0</v>
      </c>
      <c r="G160" s="704"/>
      <c r="H160" s="736">
        <v>0</v>
      </c>
      <c r="I160" s="710">
        <v>144.718</v>
      </c>
      <c r="J160" s="837"/>
      <c r="K160" s="717" t="s">
        <v>102</v>
      </c>
      <c r="L160" s="259"/>
    </row>
    <row r="161" spans="1:12" s="653" customFormat="1" ht="19.5" customHeight="1">
      <c r="A161" s="831"/>
      <c r="B161" s="842"/>
      <c r="C161" s="704">
        <v>2018</v>
      </c>
      <c r="D161" s="731">
        <f t="shared" si="33"/>
        <v>0</v>
      </c>
      <c r="E161" s="704"/>
      <c r="F161" s="731">
        <f t="shared" si="31"/>
        <v>0</v>
      </c>
      <c r="G161" s="704"/>
      <c r="H161" s="736">
        <v>0</v>
      </c>
      <c r="I161" s="710">
        <v>0</v>
      </c>
      <c r="J161" s="843"/>
      <c r="K161" s="314"/>
      <c r="L161" s="259"/>
    </row>
    <row r="162" spans="1:12" s="653" customFormat="1" ht="19.5" customHeight="1">
      <c r="A162" s="831"/>
      <c r="B162" s="842"/>
      <c r="C162" s="704">
        <v>2019</v>
      </c>
      <c r="D162" s="731">
        <f>I162</f>
        <v>0</v>
      </c>
      <c r="E162" s="704"/>
      <c r="F162" s="731">
        <f t="shared" si="31"/>
        <v>0</v>
      </c>
      <c r="G162" s="704"/>
      <c r="H162" s="736">
        <v>0</v>
      </c>
      <c r="I162" s="710">
        <v>0</v>
      </c>
      <c r="J162" s="837"/>
      <c r="K162" s="314"/>
      <c r="L162" s="259"/>
    </row>
    <row r="163" spans="1:12" s="653" customFormat="1" ht="19.5" customHeight="1">
      <c r="A163" s="831"/>
      <c r="B163" s="842"/>
      <c r="C163" s="826">
        <v>2020</v>
      </c>
      <c r="D163" s="832">
        <v>0</v>
      </c>
      <c r="E163" s="826"/>
      <c r="F163" s="832">
        <f t="shared" si="31"/>
        <v>0</v>
      </c>
      <c r="G163" s="826"/>
      <c r="H163" s="834">
        <v>0</v>
      </c>
      <c r="I163" s="836">
        <v>0</v>
      </c>
      <c r="J163" s="826"/>
      <c r="K163" s="78"/>
      <c r="L163" s="259"/>
    </row>
    <row r="164" spans="1:12" s="653" customFormat="1" ht="19.5" customHeight="1">
      <c r="A164" s="831"/>
      <c r="B164" s="842"/>
      <c r="C164" s="704">
        <v>2021</v>
      </c>
      <c r="D164" s="844">
        <v>0</v>
      </c>
      <c r="E164" s="704"/>
      <c r="F164" s="731">
        <f t="shared" si="31"/>
        <v>0</v>
      </c>
      <c r="G164" s="704"/>
      <c r="H164" s="736">
        <v>0</v>
      </c>
      <c r="I164" s="710">
        <v>0</v>
      </c>
      <c r="J164" s="837"/>
      <c r="K164" s="314"/>
      <c r="L164" s="259"/>
    </row>
    <row r="165" spans="1:12" s="653" customFormat="1" ht="19.5" customHeight="1">
      <c r="A165" s="831"/>
      <c r="B165" s="842"/>
      <c r="C165" s="704">
        <v>2022</v>
      </c>
      <c r="D165" s="844">
        <v>0</v>
      </c>
      <c r="E165" s="704"/>
      <c r="F165" s="731">
        <f t="shared" si="31"/>
        <v>0</v>
      </c>
      <c r="G165" s="704"/>
      <c r="H165" s="736">
        <v>0</v>
      </c>
      <c r="I165" s="710">
        <v>0</v>
      </c>
      <c r="J165" s="837"/>
      <c r="K165" s="314"/>
      <c r="L165" s="259"/>
    </row>
    <row r="166" spans="1:12" s="653" customFormat="1" ht="19.5" customHeight="1">
      <c r="A166" s="831"/>
      <c r="B166" s="842"/>
      <c r="C166" s="704">
        <v>2023</v>
      </c>
      <c r="D166" s="844">
        <v>0</v>
      </c>
      <c r="E166" s="704"/>
      <c r="F166" s="731">
        <f t="shared" si="31"/>
        <v>0</v>
      </c>
      <c r="G166" s="704"/>
      <c r="H166" s="736">
        <v>0</v>
      </c>
      <c r="I166" s="710">
        <v>0</v>
      </c>
      <c r="J166" s="837"/>
      <c r="K166" s="314"/>
      <c r="L166" s="259"/>
    </row>
    <row r="167" spans="1:12" s="653" customFormat="1" ht="19.5" customHeight="1">
      <c r="A167" s="831"/>
      <c r="B167" s="842"/>
      <c r="C167" s="704">
        <v>2024</v>
      </c>
      <c r="D167" s="844">
        <v>0</v>
      </c>
      <c r="E167" s="704"/>
      <c r="F167" s="731">
        <f t="shared" si="31"/>
        <v>0</v>
      </c>
      <c r="G167" s="704"/>
      <c r="H167" s="736">
        <v>0</v>
      </c>
      <c r="I167" s="710">
        <v>0</v>
      </c>
      <c r="J167" s="837"/>
      <c r="K167" s="314"/>
      <c r="L167" s="259"/>
    </row>
    <row r="168" spans="1:12" s="653" customFormat="1" ht="19.5" customHeight="1">
      <c r="A168" s="831"/>
      <c r="B168" s="842"/>
      <c r="C168" s="704">
        <v>2025</v>
      </c>
      <c r="D168" s="844">
        <v>0</v>
      </c>
      <c r="E168" s="704"/>
      <c r="F168" s="731">
        <f t="shared" si="31"/>
        <v>0</v>
      </c>
      <c r="G168" s="704"/>
      <c r="H168" s="736">
        <v>0</v>
      </c>
      <c r="I168" s="710">
        <v>0</v>
      </c>
      <c r="J168" s="837"/>
      <c r="K168" s="314"/>
      <c r="L168" s="259"/>
    </row>
    <row r="169" spans="1:12" s="653" customFormat="1" ht="48.75" customHeight="1">
      <c r="A169" s="831" t="s">
        <v>520</v>
      </c>
      <c r="B169" s="294" t="s">
        <v>521</v>
      </c>
      <c r="C169" s="826">
        <v>2019</v>
      </c>
      <c r="D169" s="832">
        <f aca="true" t="shared" si="34" ref="D169:D176">E169+F169+I169+J169</f>
        <v>45</v>
      </c>
      <c r="E169" s="826"/>
      <c r="F169" s="832">
        <f t="shared" si="31"/>
        <v>0</v>
      </c>
      <c r="G169" s="826"/>
      <c r="H169" s="834">
        <v>0</v>
      </c>
      <c r="I169" s="836">
        <f>80-35</f>
        <v>45</v>
      </c>
      <c r="J169" s="837"/>
      <c r="K169" s="314" t="s">
        <v>522</v>
      </c>
      <c r="L169" s="706"/>
    </row>
    <row r="170" spans="1:12" s="653" customFormat="1" ht="22.5" customHeight="1">
      <c r="A170" s="831" t="s">
        <v>523</v>
      </c>
      <c r="B170" s="294" t="s">
        <v>489</v>
      </c>
      <c r="C170" s="826">
        <v>2019</v>
      </c>
      <c r="D170" s="832">
        <f t="shared" si="34"/>
        <v>206.574</v>
      </c>
      <c r="E170" s="826"/>
      <c r="F170" s="832">
        <f t="shared" si="31"/>
        <v>0</v>
      </c>
      <c r="G170" s="826"/>
      <c r="H170" s="834">
        <v>0</v>
      </c>
      <c r="I170" s="836">
        <f>100+106.574</f>
        <v>206.574</v>
      </c>
      <c r="J170" s="826"/>
      <c r="K170" s="718" t="s">
        <v>522</v>
      </c>
      <c r="L170" s="706"/>
    </row>
    <row r="171" spans="1:12" s="653" customFormat="1" ht="22.5" customHeight="1">
      <c r="A171" s="831"/>
      <c r="B171" s="294"/>
      <c r="C171" s="826">
        <v>2020</v>
      </c>
      <c r="D171" s="832">
        <f t="shared" si="34"/>
        <v>269.987</v>
      </c>
      <c r="E171" s="826"/>
      <c r="F171" s="832">
        <f t="shared" si="31"/>
        <v>0</v>
      </c>
      <c r="G171" s="826"/>
      <c r="H171" s="834"/>
      <c r="I171" s="836">
        <f>270-0.013</f>
        <v>269.987</v>
      </c>
      <c r="J171" s="826"/>
      <c r="K171" s="718" t="s">
        <v>524</v>
      </c>
      <c r="L171" s="706"/>
    </row>
    <row r="172" spans="1:12" s="653" customFormat="1" ht="49.5" customHeight="1">
      <c r="A172" s="831" t="s">
        <v>525</v>
      </c>
      <c r="B172" s="294" t="s">
        <v>526</v>
      </c>
      <c r="C172" s="826">
        <v>2020</v>
      </c>
      <c r="D172" s="832">
        <f t="shared" si="34"/>
        <v>200</v>
      </c>
      <c r="E172" s="826"/>
      <c r="F172" s="832">
        <f t="shared" si="31"/>
        <v>0</v>
      </c>
      <c r="G172" s="826"/>
      <c r="H172" s="834"/>
      <c r="I172" s="836">
        <v>200</v>
      </c>
      <c r="J172" s="826"/>
      <c r="K172" s="718" t="s">
        <v>522</v>
      </c>
      <c r="L172" s="706"/>
    </row>
    <row r="173" spans="1:12" s="653" customFormat="1" ht="63" customHeight="1">
      <c r="A173" s="845" t="s">
        <v>527</v>
      </c>
      <c r="B173" s="294" t="s">
        <v>528</v>
      </c>
      <c r="C173" s="826">
        <v>2020</v>
      </c>
      <c r="D173" s="832">
        <f t="shared" si="34"/>
        <v>1149.5</v>
      </c>
      <c r="E173" s="826"/>
      <c r="F173" s="832">
        <f t="shared" si="31"/>
        <v>1000</v>
      </c>
      <c r="G173" s="826"/>
      <c r="H173" s="834">
        <v>1000</v>
      </c>
      <c r="I173" s="836">
        <v>149.5</v>
      </c>
      <c r="J173" s="826"/>
      <c r="K173" s="718" t="s">
        <v>529</v>
      </c>
      <c r="L173" s="706"/>
    </row>
    <row r="174" spans="1:12" s="653" customFormat="1" ht="122.25" customHeight="1">
      <c r="A174" s="845" t="s">
        <v>530</v>
      </c>
      <c r="B174" s="294" t="s">
        <v>531</v>
      </c>
      <c r="C174" s="826">
        <v>2021</v>
      </c>
      <c r="D174" s="832">
        <f t="shared" si="34"/>
        <v>136.8</v>
      </c>
      <c r="E174" s="826"/>
      <c r="F174" s="832">
        <f t="shared" si="31"/>
        <v>0</v>
      </c>
      <c r="G174" s="826"/>
      <c r="H174" s="834">
        <v>0</v>
      </c>
      <c r="I174" s="836">
        <v>136.8</v>
      </c>
      <c r="J174" s="826"/>
      <c r="K174" s="718" t="s">
        <v>62</v>
      </c>
      <c r="L174" s="706"/>
    </row>
    <row r="175" spans="1:12" s="653" customFormat="1" ht="19.5" customHeight="1">
      <c r="A175" s="828" t="s">
        <v>379</v>
      </c>
      <c r="B175" s="828"/>
      <c r="C175" s="704">
        <v>2017</v>
      </c>
      <c r="D175" s="705">
        <f t="shared" si="34"/>
        <v>8294.948</v>
      </c>
      <c r="E175" s="840">
        <f>E97+E113+E114+E138+E148+E149+E160+E164+E165</f>
        <v>0</v>
      </c>
      <c r="F175" s="731">
        <f t="shared" si="31"/>
        <v>400</v>
      </c>
      <c r="G175" s="840">
        <f>G97+G113+G114+G138+G148+G149+G160+G164+G165</f>
        <v>0</v>
      </c>
      <c r="H175" s="705">
        <v>400</v>
      </c>
      <c r="I175" s="840">
        <v>7094.948</v>
      </c>
      <c r="J175" s="840">
        <f>J95+J113+J137+J147+J148+J160</f>
        <v>800</v>
      </c>
      <c r="K175" s="294"/>
      <c r="L175" s="846"/>
    </row>
    <row r="176" spans="1:12" s="653" customFormat="1" ht="19.5" customHeight="1">
      <c r="A176" s="828"/>
      <c r="B176" s="828"/>
      <c r="C176" s="704">
        <v>2018</v>
      </c>
      <c r="D176" s="705">
        <f t="shared" si="34"/>
        <v>8811.0584</v>
      </c>
      <c r="E176" s="840">
        <f>E98+E114+E115+E139+E149+E150+E161+E165+E169</f>
        <v>0</v>
      </c>
      <c r="F176" s="840">
        <f>F98+F114+F137+F149</f>
        <v>683</v>
      </c>
      <c r="G176" s="840">
        <f>G98+G114+G115+G139+G149+G150+G161+G165+G169</f>
        <v>0</v>
      </c>
      <c r="H176" s="840">
        <f>H98+H114+H137+H149</f>
        <v>683</v>
      </c>
      <c r="I176" s="840">
        <f>I98+I114+I137+I149</f>
        <v>7013.28837</v>
      </c>
      <c r="J176" s="840">
        <f>J98+J114+J137+J149+J161</f>
        <v>1114.77</v>
      </c>
      <c r="K176" s="294"/>
      <c r="L176" s="846"/>
    </row>
    <row r="177" spans="1:12" s="653" customFormat="1" ht="19.5" customHeight="1">
      <c r="A177" s="828"/>
      <c r="B177" s="828"/>
      <c r="C177" s="704">
        <v>2019</v>
      </c>
      <c r="D177" s="840">
        <f>D99+D115+D116+D140+D150+D151+D162+D169+D170</f>
        <v>10170.509000000002</v>
      </c>
      <c r="E177" s="840">
        <v>0</v>
      </c>
      <c r="F177" s="840">
        <f>F99+F115+F116+F140</f>
        <v>597.503</v>
      </c>
      <c r="G177" s="840">
        <f>G99+G115+G116+G140</f>
        <v>0</v>
      </c>
      <c r="H177" s="840">
        <f>H99+H115+H116+H140</f>
        <v>597.503</v>
      </c>
      <c r="I177" s="840">
        <f>I99+I115+I140+I150+I162+I169+I170+I151</f>
        <v>8062.6255200000005</v>
      </c>
      <c r="J177" s="840">
        <f>J99+J115+J140+J150</f>
        <v>1510.38</v>
      </c>
      <c r="K177" s="294"/>
      <c r="L177" s="846"/>
    </row>
    <row r="178" spans="1:12" s="653" customFormat="1" ht="19.5" customHeight="1">
      <c r="A178" s="828"/>
      <c r="B178" s="828"/>
      <c r="C178" s="704">
        <v>2020</v>
      </c>
      <c r="D178" s="840">
        <f>D100+D101+D117+D118+D119+D141+D152+D153+D163+D172+D171+D173</f>
        <v>5651.35581</v>
      </c>
      <c r="E178" s="840">
        <v>0</v>
      </c>
      <c r="F178" s="840">
        <f>F100+F101+F118+F141+F152+F153+F172+F173+F171</f>
        <v>1000</v>
      </c>
      <c r="G178" s="840">
        <f>G100+G101+G118+G141+G152+G153+G172+G173+G171</f>
        <v>0</v>
      </c>
      <c r="H178" s="840">
        <f>H100+H101+H118+H141+H152+H153+H172+H173+H171</f>
        <v>1000</v>
      </c>
      <c r="I178" s="840">
        <f>I100+I101+I118+I141+I152+I153+I172+I173+I171</f>
        <v>4651.35581</v>
      </c>
      <c r="J178" s="840">
        <v>0</v>
      </c>
      <c r="K178" s="294"/>
      <c r="L178" s="846"/>
    </row>
    <row r="179" spans="1:12" s="653" customFormat="1" ht="19.5" customHeight="1">
      <c r="A179" s="828"/>
      <c r="B179" s="828"/>
      <c r="C179" s="704">
        <v>2021</v>
      </c>
      <c r="D179" s="840">
        <f>D102+D103+D120+D142+D154+D164+D174</f>
        <v>5845.319</v>
      </c>
      <c r="E179" s="840">
        <v>0</v>
      </c>
      <c r="F179" s="840">
        <f>F102+F103+F120+F142+F156+F164+F155+F174</f>
        <v>290.4</v>
      </c>
      <c r="G179" s="840">
        <f>G102+G103+G120+G142+G156+G164+G155+G174</f>
        <v>0</v>
      </c>
      <c r="H179" s="840">
        <f>H102+H103+H120+H142+H156+H164+H155+H174</f>
        <v>290.4</v>
      </c>
      <c r="I179" s="840">
        <f>I102+I103+I120+I142+I156+I164+I155+I174</f>
        <v>5086.91882</v>
      </c>
      <c r="J179" s="840">
        <f>J102+J103+J120+J142+J154+J164</f>
        <v>468</v>
      </c>
      <c r="K179" s="294"/>
      <c r="L179" s="846"/>
    </row>
    <row r="180" spans="1:12" ht="34.5" customHeight="1">
      <c r="A180" s="828"/>
      <c r="B180" s="828"/>
      <c r="C180" s="704">
        <v>2022</v>
      </c>
      <c r="D180" s="840">
        <f>E180+F180+I180+J180</f>
        <v>10303.884999999998</v>
      </c>
      <c r="E180" s="840">
        <v>0</v>
      </c>
      <c r="F180" s="840">
        <f>F104+F105+F123+F143+F157+F165</f>
        <v>4229.925</v>
      </c>
      <c r="G180" s="840">
        <f>G104+G105+G123+G143+G157+G165</f>
        <v>0</v>
      </c>
      <c r="H180" s="840">
        <f>H104+H105+H123+H143+H157+H165</f>
        <v>4229.925</v>
      </c>
      <c r="I180" s="840">
        <f>I104+I105+I123+I143+I157+I165</f>
        <v>5325.16</v>
      </c>
      <c r="J180" s="840">
        <f>J123</f>
        <v>748.8</v>
      </c>
      <c r="K180" s="294"/>
      <c r="L180" s="846"/>
    </row>
    <row r="181" spans="1:12" ht="32.25" customHeight="1">
      <c r="A181" s="828"/>
      <c r="B181" s="828"/>
      <c r="C181" s="704">
        <v>2023</v>
      </c>
      <c r="D181" s="840">
        <f>D106+D107+D127+D128+D129+D144+D166</f>
        <v>7145.848830000001</v>
      </c>
      <c r="E181" s="840">
        <v>0</v>
      </c>
      <c r="F181" s="840">
        <f>F106+F107+F127+F128+F129+F144+F158+F166</f>
        <v>1336.5466099999999</v>
      </c>
      <c r="G181" s="840">
        <f>G106+G107+G127+G128+G129+G144+G158+G166</f>
        <v>0</v>
      </c>
      <c r="H181" s="840">
        <f>H106+H107+H127+H128+H129+H144+H158+H166</f>
        <v>1336.5466099999999</v>
      </c>
      <c r="I181" s="840">
        <f>I106+I107+I127+I128+I129+I144+I158+I166</f>
        <v>5809.30222</v>
      </c>
      <c r="J181" s="840">
        <v>0</v>
      </c>
      <c r="K181" s="294"/>
      <c r="L181" s="846"/>
    </row>
    <row r="182" spans="1:12" ht="32.25" customHeight="1">
      <c r="A182" s="828"/>
      <c r="B182" s="828"/>
      <c r="C182" s="704">
        <v>2024</v>
      </c>
      <c r="D182" s="840">
        <f>D108+D109+D130+D131+D132+D145+D158+D167</f>
        <v>9695.43</v>
      </c>
      <c r="E182" s="840">
        <v>0</v>
      </c>
      <c r="F182" s="840">
        <f>F108+F109+F130+F131+F132+F145+F159</f>
        <v>2010</v>
      </c>
      <c r="G182" s="840">
        <f>G108+G109+G130+G131+G132+G145+G159</f>
        <v>0</v>
      </c>
      <c r="H182" s="840">
        <f>H108+H109+H130+H131+H132+H145+H159</f>
        <v>2010</v>
      </c>
      <c r="I182" s="840">
        <f>I108+I109+I130+I131+I132+I145+I159</f>
        <v>7685.43</v>
      </c>
      <c r="J182" s="840">
        <v>0</v>
      </c>
      <c r="K182" s="294"/>
      <c r="L182" s="846"/>
    </row>
    <row r="183" spans="1:12" ht="19.5" customHeight="1">
      <c r="A183" s="828"/>
      <c r="B183" s="828"/>
      <c r="C183" s="704">
        <v>2025</v>
      </c>
      <c r="D183" s="840">
        <f>D110+D111+D133+D134+D135+D146+D159+D168</f>
        <v>9695.43</v>
      </c>
      <c r="E183" s="840">
        <v>0</v>
      </c>
      <c r="F183" s="840">
        <f>F110+F111+F133+F134+F135+F146+F168</f>
        <v>2010</v>
      </c>
      <c r="G183" s="840">
        <f>G110+G111+G133+G134+G135+G146+G168</f>
        <v>0</v>
      </c>
      <c r="H183" s="840">
        <f>H110+H111+H133+H134+H135+H146+H168</f>
        <v>2010</v>
      </c>
      <c r="I183" s="840">
        <f>I110+I111+I133+I134+I135+I146+I168</f>
        <v>7685.43</v>
      </c>
      <c r="J183" s="840">
        <v>0</v>
      </c>
      <c r="K183" s="294"/>
      <c r="L183" s="846"/>
    </row>
    <row r="184" spans="1:12" ht="16.5" customHeight="1">
      <c r="A184" s="847"/>
      <c r="B184" s="847"/>
      <c r="C184" s="847"/>
      <c r="D184" s="847"/>
      <c r="E184" s="847"/>
      <c r="F184" s="847"/>
      <c r="G184" s="847"/>
      <c r="H184" s="847"/>
      <c r="I184" s="847"/>
      <c r="J184" s="847"/>
      <c r="K184" s="847"/>
      <c r="L184" s="847"/>
    </row>
    <row r="185" spans="1:12" ht="21.75" customHeight="1">
      <c r="A185" s="848" t="s">
        <v>532</v>
      </c>
      <c r="B185" s="848"/>
      <c r="C185" s="837" t="s">
        <v>411</v>
      </c>
      <c r="D185" s="840">
        <f>D186+D187+D188+D189+D190+D191+D192+D193+D194</f>
        <v>91580.89901</v>
      </c>
      <c r="E185" s="840">
        <f>E186+E187+E188+E189+E190+E191+E192+E193+E194</f>
        <v>0</v>
      </c>
      <c r="F185" s="840">
        <f>F186+F187+F188+F189+F190+F191+F192+F193+F194</f>
        <v>18583.99611</v>
      </c>
      <c r="G185" s="840">
        <f>G186+G187+G188+G189+G190+G191+G192+G193+G194</f>
        <v>0</v>
      </c>
      <c r="H185" s="840">
        <f>H186+H187+H188+H189+H190+H191+H192+H193+H194</f>
        <v>23576.746110000004</v>
      </c>
      <c r="I185" s="840">
        <f>I186+I187+I188+I189+I190+I191+I192+I193+I194</f>
        <v>62909.20224</v>
      </c>
      <c r="J185" s="840">
        <f>J186+J187+J188+J189+J190+J191+J192+J193+J194</f>
        <v>5094.95</v>
      </c>
      <c r="K185" s="849"/>
      <c r="L185" s="850"/>
    </row>
    <row r="186" spans="1:12" ht="17.25" customHeight="1">
      <c r="A186" s="848"/>
      <c r="B186" s="848"/>
      <c r="C186" s="704">
        <v>2017</v>
      </c>
      <c r="D186" s="840">
        <f>D175+D83+D49</f>
        <v>9891.710000000001</v>
      </c>
      <c r="E186" s="840">
        <f>E175+E83+E49</f>
        <v>0</v>
      </c>
      <c r="F186" s="840">
        <f>F175+F83+F49</f>
        <v>1397</v>
      </c>
      <c r="G186" s="840">
        <f>G175+G83+G49</f>
        <v>0</v>
      </c>
      <c r="H186" s="840">
        <f>H175+H83+H49</f>
        <v>1397</v>
      </c>
      <c r="I186" s="840">
        <f aca="true" t="shared" si="35" ref="I186:I194">I175+I83+I49</f>
        <v>7569.71</v>
      </c>
      <c r="J186" s="840">
        <f aca="true" t="shared" si="36" ref="J186:J194">J175+J83+J49</f>
        <v>925</v>
      </c>
      <c r="K186" s="849"/>
      <c r="L186" s="850"/>
    </row>
    <row r="187" spans="1:12" ht="18" customHeight="1">
      <c r="A187" s="848"/>
      <c r="B187" s="848"/>
      <c r="C187" s="704">
        <v>2018</v>
      </c>
      <c r="D187" s="840">
        <f>E187+F187+I187+J187</f>
        <v>10539.53937</v>
      </c>
      <c r="E187" s="840">
        <v>0</v>
      </c>
      <c r="F187" s="840">
        <f>G187+H187</f>
        <v>1698</v>
      </c>
      <c r="G187" s="840">
        <f aca="true" t="shared" si="37" ref="G187:G194">G50+G84+G176</f>
        <v>0</v>
      </c>
      <c r="H187" s="840">
        <v>1698</v>
      </c>
      <c r="I187" s="840">
        <f t="shared" si="35"/>
        <v>7523.76937</v>
      </c>
      <c r="J187" s="840">
        <f t="shared" si="36"/>
        <v>1317.77</v>
      </c>
      <c r="K187" s="849"/>
      <c r="L187" s="850"/>
    </row>
    <row r="188" spans="1:12" ht="19.5" customHeight="1">
      <c r="A188" s="848"/>
      <c r="B188" s="848"/>
      <c r="C188" s="704">
        <v>2019</v>
      </c>
      <c r="D188" s="840">
        <f aca="true" t="shared" si="38" ref="D188:D194">D51+D85+D177</f>
        <v>11919.837000000001</v>
      </c>
      <c r="E188" s="840">
        <f aca="true" t="shared" si="39" ref="E188:E194">E55+E85+E177</f>
        <v>0</v>
      </c>
      <c r="F188" s="840">
        <f aca="true" t="shared" si="40" ref="F188:F194">F55+F85+F177</f>
        <v>1993.7245000000003</v>
      </c>
      <c r="G188" s="840">
        <f t="shared" si="37"/>
        <v>0</v>
      </c>
      <c r="H188" s="840">
        <f aca="true" t="shared" si="41" ref="H188:H194">H51+H85+H177</f>
        <v>1694.5840000000003</v>
      </c>
      <c r="I188" s="840">
        <f t="shared" si="35"/>
        <v>8589.87252</v>
      </c>
      <c r="J188" s="840">
        <f t="shared" si="36"/>
        <v>1635.38</v>
      </c>
      <c r="K188" s="849"/>
      <c r="L188" s="850"/>
    </row>
    <row r="189" spans="1:12" ht="19.5" customHeight="1">
      <c r="A189" s="848"/>
      <c r="B189" s="848"/>
      <c r="C189" s="851">
        <v>2020</v>
      </c>
      <c r="D189" s="840">
        <f t="shared" si="38"/>
        <v>7056.05581</v>
      </c>
      <c r="E189" s="840">
        <f t="shared" si="39"/>
        <v>0</v>
      </c>
      <c r="F189" s="840">
        <f t="shared" si="40"/>
        <v>2309.2</v>
      </c>
      <c r="G189" s="840">
        <f t="shared" si="37"/>
        <v>0</v>
      </c>
      <c r="H189" s="840">
        <f t="shared" si="41"/>
        <v>2135.1</v>
      </c>
      <c r="I189" s="840">
        <f t="shared" si="35"/>
        <v>4920.95581</v>
      </c>
      <c r="J189" s="840">
        <f t="shared" si="36"/>
        <v>0</v>
      </c>
      <c r="K189" s="849"/>
      <c r="L189" s="850"/>
    </row>
    <row r="190" spans="1:12" ht="19.5" customHeight="1">
      <c r="A190" s="848"/>
      <c r="B190" s="848"/>
      <c r="C190" s="851">
        <v>2021</v>
      </c>
      <c r="D190" s="840">
        <f t="shared" si="38"/>
        <v>7997.5915</v>
      </c>
      <c r="E190" s="840">
        <f t="shared" si="39"/>
        <v>0</v>
      </c>
      <c r="F190" s="840">
        <f t="shared" si="40"/>
        <v>1599.6</v>
      </c>
      <c r="G190" s="840">
        <f t="shared" si="37"/>
        <v>0</v>
      </c>
      <c r="H190" s="840">
        <f t="shared" si="41"/>
        <v>1751.9299999999998</v>
      </c>
      <c r="I190" s="840">
        <f t="shared" si="35"/>
        <v>5777.66132</v>
      </c>
      <c r="J190" s="840">
        <f t="shared" si="36"/>
        <v>468</v>
      </c>
      <c r="K190" s="849"/>
      <c r="L190" s="850"/>
    </row>
    <row r="191" spans="1:12" ht="33.75" customHeight="1">
      <c r="A191" s="848"/>
      <c r="B191" s="848"/>
      <c r="C191" s="851">
        <v>2022</v>
      </c>
      <c r="D191" s="840">
        <f t="shared" si="38"/>
        <v>12597.526499999998</v>
      </c>
      <c r="E191" s="840">
        <f t="shared" si="39"/>
        <v>0</v>
      </c>
      <c r="F191" s="840">
        <f t="shared" si="40"/>
        <v>4229.925</v>
      </c>
      <c r="G191" s="840">
        <f t="shared" si="37"/>
        <v>0</v>
      </c>
      <c r="H191" s="840">
        <f t="shared" si="41"/>
        <v>5528.964</v>
      </c>
      <c r="I191" s="840">
        <f t="shared" si="35"/>
        <v>6319.7625</v>
      </c>
      <c r="J191" s="840">
        <f t="shared" si="36"/>
        <v>748.8</v>
      </c>
      <c r="K191" s="849"/>
      <c r="L191" s="850"/>
    </row>
    <row r="192" spans="1:12" ht="18.75" customHeight="1">
      <c r="A192" s="848"/>
      <c r="B192" s="848"/>
      <c r="C192" s="852">
        <v>2023</v>
      </c>
      <c r="D192" s="840">
        <f t="shared" si="38"/>
        <v>9194.67883</v>
      </c>
      <c r="E192" s="840">
        <f t="shared" si="39"/>
        <v>0</v>
      </c>
      <c r="F192" s="840">
        <f t="shared" si="40"/>
        <v>1336.5466099999999</v>
      </c>
      <c r="G192" s="840">
        <f t="shared" si="37"/>
        <v>0</v>
      </c>
      <c r="H192" s="840">
        <f t="shared" si="41"/>
        <v>2732.76811</v>
      </c>
      <c r="I192" s="840">
        <f t="shared" si="35"/>
        <v>6461.91072</v>
      </c>
      <c r="J192" s="840">
        <f t="shared" si="36"/>
        <v>0</v>
      </c>
      <c r="K192" s="849"/>
      <c r="L192" s="850"/>
    </row>
    <row r="193" spans="1:12" ht="18.75" customHeight="1">
      <c r="A193" s="848"/>
      <c r="B193" s="848"/>
      <c r="C193" s="852">
        <v>2024</v>
      </c>
      <c r="D193" s="853">
        <f t="shared" si="38"/>
        <v>11191.98</v>
      </c>
      <c r="E193" s="853">
        <f t="shared" si="39"/>
        <v>0</v>
      </c>
      <c r="F193" s="853">
        <f t="shared" si="40"/>
        <v>2010</v>
      </c>
      <c r="G193" s="853">
        <f t="shared" si="37"/>
        <v>0</v>
      </c>
      <c r="H193" s="853">
        <f t="shared" si="41"/>
        <v>3319.2</v>
      </c>
      <c r="I193" s="840">
        <f t="shared" si="35"/>
        <v>7872.780000000001</v>
      </c>
      <c r="J193" s="840">
        <f t="shared" si="36"/>
        <v>0</v>
      </c>
      <c r="K193" s="849"/>
      <c r="L193" s="850"/>
    </row>
    <row r="194" spans="1:12" ht="18.75" customHeight="1">
      <c r="A194" s="848"/>
      <c r="B194" s="848"/>
      <c r="C194" s="854">
        <v>2025</v>
      </c>
      <c r="D194" s="855">
        <f t="shared" si="38"/>
        <v>11191.98</v>
      </c>
      <c r="E194" s="855">
        <f t="shared" si="39"/>
        <v>0</v>
      </c>
      <c r="F194" s="855">
        <f t="shared" si="40"/>
        <v>2010</v>
      </c>
      <c r="G194" s="855">
        <f t="shared" si="37"/>
        <v>0</v>
      </c>
      <c r="H194" s="855">
        <f t="shared" si="41"/>
        <v>3319.2</v>
      </c>
      <c r="I194" s="840">
        <f t="shared" si="35"/>
        <v>7872.780000000001</v>
      </c>
      <c r="J194" s="840">
        <f t="shared" si="36"/>
        <v>0</v>
      </c>
      <c r="K194" s="849"/>
      <c r="L194" s="850"/>
    </row>
    <row r="195" spans="2:8" ht="14.25">
      <c r="B195" s="856"/>
      <c r="C195" s="857"/>
      <c r="D195" s="857"/>
      <c r="E195" s="857"/>
      <c r="F195" s="857"/>
      <c r="G195" s="857"/>
      <c r="H195" s="856"/>
    </row>
    <row r="196" spans="2:8" ht="14.25">
      <c r="B196" s="856"/>
      <c r="C196" s="857"/>
      <c r="D196" s="857"/>
      <c r="E196" s="857"/>
      <c r="F196" s="857"/>
      <c r="G196" s="857"/>
      <c r="H196" s="856"/>
    </row>
    <row r="197" spans="2:8" ht="14.25">
      <c r="B197" s="856"/>
      <c r="C197" s="857"/>
      <c r="D197" s="857"/>
      <c r="E197" s="857"/>
      <c r="F197" s="857"/>
      <c r="G197" s="857"/>
      <c r="H197" s="856"/>
    </row>
    <row r="198" spans="2:8" ht="14.25">
      <c r="B198" s="856"/>
      <c r="C198" s="857"/>
      <c r="D198" s="857"/>
      <c r="E198" s="857"/>
      <c r="F198" s="857"/>
      <c r="G198" s="857"/>
      <c r="H198" s="856"/>
    </row>
    <row r="199" spans="2:8" ht="14.25">
      <c r="B199" s="856"/>
      <c r="C199" s="857"/>
      <c r="D199" s="857"/>
      <c r="E199" s="857"/>
      <c r="F199" s="857"/>
      <c r="G199" s="857"/>
      <c r="H199" s="856"/>
    </row>
    <row r="200" spans="2:8" ht="14.25">
      <c r="B200" s="856"/>
      <c r="C200" s="857"/>
      <c r="D200" s="857"/>
      <c r="E200" s="857"/>
      <c r="F200" s="858"/>
      <c r="G200" s="857"/>
      <c r="H200" s="856"/>
    </row>
    <row r="201" spans="2:8" ht="14.25">
      <c r="B201" s="856"/>
      <c r="C201" s="857"/>
      <c r="D201" s="857"/>
      <c r="E201" s="857"/>
      <c r="F201" s="857"/>
      <c r="G201" s="857"/>
      <c r="H201" s="856"/>
    </row>
    <row r="202" spans="2:8" ht="14.25">
      <c r="B202" s="856"/>
      <c r="C202" s="857"/>
      <c r="D202" s="857"/>
      <c r="E202" s="857"/>
      <c r="F202" s="857"/>
      <c r="G202" s="857"/>
      <c r="H202" s="856"/>
    </row>
    <row r="203" spans="2:8" ht="14.25">
      <c r="B203" s="856"/>
      <c r="C203" s="857"/>
      <c r="D203" s="857"/>
      <c r="E203" s="857"/>
      <c r="F203" s="857"/>
      <c r="G203" s="857"/>
      <c r="H203" s="857"/>
    </row>
    <row r="204" spans="2:8" ht="14.25">
      <c r="B204" s="856"/>
      <c r="C204" s="857"/>
      <c r="D204" s="857"/>
      <c r="E204" s="857"/>
      <c r="F204" s="857"/>
      <c r="G204" s="857"/>
      <c r="H204" s="857"/>
    </row>
    <row r="205" spans="2:8" ht="14.25">
      <c r="B205" s="856"/>
      <c r="C205" s="857"/>
      <c r="D205" s="857"/>
      <c r="E205" s="857"/>
      <c r="F205" s="857"/>
      <c r="G205" s="857"/>
      <c r="H205" s="857"/>
    </row>
    <row r="206" spans="2:8" ht="14.25">
      <c r="B206" s="856"/>
      <c r="C206" s="857"/>
      <c r="D206" s="857"/>
      <c r="E206" s="857"/>
      <c r="F206" s="858"/>
      <c r="G206" s="857"/>
      <c r="H206" s="857"/>
    </row>
    <row r="207" spans="2:8" ht="14.25">
      <c r="B207" s="856"/>
      <c r="C207" s="857"/>
      <c r="D207" s="857"/>
      <c r="E207" s="857"/>
      <c r="F207" s="857"/>
      <c r="G207" s="857"/>
      <c r="H207" s="857"/>
    </row>
    <row r="208" spans="2:8" ht="14.25">
      <c r="B208" s="856"/>
      <c r="C208" s="857"/>
      <c r="D208" s="857"/>
      <c r="E208" s="857"/>
      <c r="F208" s="857"/>
      <c r="G208" s="857"/>
      <c r="H208" s="857"/>
    </row>
  </sheetData>
  <sheetProtection selectLockedCells="1" selectUnlockedCells="1"/>
  <mergeCells count="138">
    <mergeCell ref="J1:L1"/>
    <mergeCell ref="I2:L2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39"/>
    <mergeCell ref="B13:B39"/>
    <mergeCell ref="C13:C15"/>
    <mergeCell ref="D13:D15"/>
    <mergeCell ref="L13:L39"/>
    <mergeCell ref="C16:C18"/>
    <mergeCell ref="D16:D18"/>
    <mergeCell ref="C19:C21"/>
    <mergeCell ref="C22:C24"/>
    <mergeCell ref="C25:C27"/>
    <mergeCell ref="C28:C30"/>
    <mergeCell ref="C31:C33"/>
    <mergeCell ref="C34:C36"/>
    <mergeCell ref="C37:C39"/>
    <mergeCell ref="A40:A48"/>
    <mergeCell ref="B40:B48"/>
    <mergeCell ref="K40:K48"/>
    <mergeCell ref="L40:L48"/>
    <mergeCell ref="A49:B57"/>
    <mergeCell ref="K49:K51"/>
    <mergeCell ref="L49:L51"/>
    <mergeCell ref="A58:K58"/>
    <mergeCell ref="A59:K59"/>
    <mergeCell ref="A60:K60"/>
    <mergeCell ref="A61:A72"/>
    <mergeCell ref="B61:B72"/>
    <mergeCell ref="C61:C62"/>
    <mergeCell ref="D61:D62"/>
    <mergeCell ref="E61:E62"/>
    <mergeCell ref="F61:F62"/>
    <mergeCell ref="G61:G62"/>
    <mergeCell ref="H61:H62"/>
    <mergeCell ref="I61:I62"/>
    <mergeCell ref="J61:J62"/>
    <mergeCell ref="K61:K72"/>
    <mergeCell ref="L61:L72"/>
    <mergeCell ref="C63:C64"/>
    <mergeCell ref="D63:D64"/>
    <mergeCell ref="E63:E64"/>
    <mergeCell ref="F63:F64"/>
    <mergeCell ref="G63:G64"/>
    <mergeCell ref="H63:H64"/>
    <mergeCell ref="I63:I64"/>
    <mergeCell ref="J63:J64"/>
    <mergeCell ref="C65:C66"/>
    <mergeCell ref="D65:D66"/>
    <mergeCell ref="E65:E66"/>
    <mergeCell ref="F65:F66"/>
    <mergeCell ref="G65:G66"/>
    <mergeCell ref="H65:H66"/>
    <mergeCell ref="I65:I66"/>
    <mergeCell ref="J65:J66"/>
    <mergeCell ref="A73:A81"/>
    <mergeCell ref="B73:B81"/>
    <mergeCell ref="K73:K81"/>
    <mergeCell ref="L73:L81"/>
    <mergeCell ref="A83:B91"/>
    <mergeCell ref="K83:K88"/>
    <mergeCell ref="L83:L88"/>
    <mergeCell ref="A92:L92"/>
    <mergeCell ref="A93:L93"/>
    <mergeCell ref="A94:L94"/>
    <mergeCell ref="A95:A112"/>
    <mergeCell ref="B95:B112"/>
    <mergeCell ref="C95:C97"/>
    <mergeCell ref="D95:D97"/>
    <mergeCell ref="E95:E97"/>
    <mergeCell ref="F95:F97"/>
    <mergeCell ref="G95:G97"/>
    <mergeCell ref="H95:H97"/>
    <mergeCell ref="I95:I97"/>
    <mergeCell ref="J95:J97"/>
    <mergeCell ref="K95:K97"/>
    <mergeCell ref="L95:L135"/>
    <mergeCell ref="C100:C101"/>
    <mergeCell ref="C102:C103"/>
    <mergeCell ref="C104:C105"/>
    <mergeCell ref="C106:C107"/>
    <mergeCell ref="C108:C109"/>
    <mergeCell ref="C110:C111"/>
    <mergeCell ref="A113:A135"/>
    <mergeCell ref="B113:B135"/>
    <mergeCell ref="C115:C116"/>
    <mergeCell ref="C117:C119"/>
    <mergeCell ref="C120:C122"/>
    <mergeCell ref="C123:C126"/>
    <mergeCell ref="C127:C129"/>
    <mergeCell ref="C130:C132"/>
    <mergeCell ref="C133:C135"/>
    <mergeCell ref="A136:A146"/>
    <mergeCell ref="B136:B146"/>
    <mergeCell ref="L136:L168"/>
    <mergeCell ref="C137:C139"/>
    <mergeCell ref="D137:D139"/>
    <mergeCell ref="E137:E139"/>
    <mergeCell ref="F137:F139"/>
    <mergeCell ref="G137:G139"/>
    <mergeCell ref="H137:H139"/>
    <mergeCell ref="I137:I139"/>
    <mergeCell ref="J137:J139"/>
    <mergeCell ref="K137:K139"/>
    <mergeCell ref="K140:K143"/>
    <mergeCell ref="A147:A159"/>
    <mergeCell ref="B147:B154"/>
    <mergeCell ref="C147:C148"/>
    <mergeCell ref="D147:D148"/>
    <mergeCell ref="C154:C156"/>
    <mergeCell ref="J157:J159"/>
    <mergeCell ref="A160:A168"/>
    <mergeCell ref="B160:B168"/>
    <mergeCell ref="A170:A171"/>
    <mergeCell ref="B170:B171"/>
    <mergeCell ref="A175:B183"/>
    <mergeCell ref="K175:K183"/>
    <mergeCell ref="L175:L183"/>
    <mergeCell ref="A184:L184"/>
    <mergeCell ref="A185:B194"/>
    <mergeCell ref="K185:K194"/>
    <mergeCell ref="L185:L194"/>
  </mergeCells>
  <printOptions/>
  <pageMargins left="0.7875" right="0.7875" top="1.0527777777777778" bottom="1.0527777777777778" header="0.7875" footer="0.7875"/>
  <pageSetup horizontalDpi="300" verticalDpi="300" orientation="portrait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76"/>
  <sheetViews>
    <sheetView view="pageBreakPreview" zoomScale="65" zoomScaleSheetLayoutView="65" workbookViewId="0" topLeftCell="A1">
      <selection activeCell="A1" sqref="A1"/>
    </sheetView>
  </sheetViews>
  <sheetFormatPr defaultColWidth="9.00390625" defaultRowHeight="12.75"/>
  <cols>
    <col min="1" max="1" width="6.875" style="687" customWidth="1"/>
    <col min="2" max="2" width="44.125" style="687" customWidth="1"/>
    <col min="3" max="3" width="21.50390625" style="687" customWidth="1"/>
    <col min="4" max="4" width="35.00390625" style="687" customWidth="1"/>
    <col min="5" max="5" width="32.00390625" style="687" customWidth="1"/>
    <col min="6" max="6" width="12.875" style="687" customWidth="1"/>
    <col min="7" max="7" width="15.50390625" style="687" customWidth="1"/>
    <col min="8" max="8" width="19.625" style="687" customWidth="1"/>
    <col min="9" max="9" width="15.375" style="687" customWidth="1"/>
    <col min="10" max="10" width="13.125" style="687" customWidth="1"/>
    <col min="11" max="11" width="20.00390625" style="687" customWidth="1"/>
    <col min="12" max="12" width="26.50390625" style="687" customWidth="1"/>
    <col min="13" max="18" width="9.125" style="687" customWidth="1"/>
    <col min="19" max="20" width="18.375" style="687" customWidth="1"/>
    <col min="21" max="21" width="21.625" style="687" customWidth="1"/>
    <col min="22" max="22" width="27.00390625" style="687" customWidth="1"/>
    <col min="23" max="23" width="31.50390625" style="687" customWidth="1"/>
    <col min="24" max="255" width="9.125" style="687" customWidth="1"/>
  </cols>
  <sheetData>
    <row r="1" spans="9:12" ht="19.5" customHeight="1">
      <c r="I1" s="690" t="s">
        <v>533</v>
      </c>
      <c r="J1" s="690"/>
      <c r="K1" s="690"/>
      <c r="L1" s="690"/>
    </row>
    <row r="2" spans="9:12" ht="23.25" customHeight="1">
      <c r="I2" s="692" t="s">
        <v>1</v>
      </c>
      <c r="J2" s="692"/>
      <c r="K2" s="692"/>
      <c r="L2" s="692"/>
    </row>
    <row r="3" spans="1:12" ht="55.5" customHeight="1">
      <c r="A3" s="803"/>
      <c r="B3" s="859" t="s">
        <v>534</v>
      </c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ht="21" customHeight="1">
      <c r="A4" s="860" t="s">
        <v>535</v>
      </c>
      <c r="B4" s="860" t="s">
        <v>465</v>
      </c>
      <c r="C4" s="860" t="s">
        <v>466</v>
      </c>
      <c r="D4" s="861" t="s">
        <v>536</v>
      </c>
      <c r="E4" s="862" t="s">
        <v>7</v>
      </c>
      <c r="F4" s="862"/>
      <c r="G4" s="862"/>
      <c r="H4" s="862"/>
      <c r="I4" s="862"/>
      <c r="J4" s="863" t="s">
        <v>8</v>
      </c>
      <c r="K4" s="860" t="s">
        <v>467</v>
      </c>
      <c r="L4" s="860" t="s">
        <v>468</v>
      </c>
    </row>
    <row r="5" spans="1:12" ht="26.25" customHeight="1">
      <c r="A5" s="860"/>
      <c r="B5" s="860"/>
      <c r="C5" s="860"/>
      <c r="D5" s="861"/>
      <c r="E5" s="863" t="s">
        <v>11</v>
      </c>
      <c r="F5" s="864" t="s">
        <v>419</v>
      </c>
      <c r="G5" s="864"/>
      <c r="H5" s="864"/>
      <c r="I5" s="864"/>
      <c r="J5" s="863"/>
      <c r="K5" s="860"/>
      <c r="L5" s="860"/>
    </row>
    <row r="6" spans="1:12" ht="34.5" customHeight="1">
      <c r="A6" s="860"/>
      <c r="B6" s="860"/>
      <c r="C6" s="860"/>
      <c r="D6" s="861"/>
      <c r="E6" s="863"/>
      <c r="F6" s="863" t="s">
        <v>13</v>
      </c>
      <c r="G6" s="863"/>
      <c r="H6" s="863"/>
      <c r="I6" s="865" t="s">
        <v>537</v>
      </c>
      <c r="J6" s="863"/>
      <c r="K6" s="860"/>
      <c r="L6" s="860"/>
    </row>
    <row r="7" spans="1:12" ht="20.25" customHeight="1">
      <c r="A7" s="860"/>
      <c r="B7" s="860"/>
      <c r="C7" s="860"/>
      <c r="D7" s="861"/>
      <c r="E7" s="863"/>
      <c r="F7" s="863" t="s">
        <v>15</v>
      </c>
      <c r="G7" s="860" t="s">
        <v>16</v>
      </c>
      <c r="H7" s="860"/>
      <c r="I7" s="865"/>
      <c r="J7" s="863"/>
      <c r="K7" s="860"/>
      <c r="L7" s="860"/>
    </row>
    <row r="8" spans="1:12" ht="49.5" customHeight="1">
      <c r="A8" s="860"/>
      <c r="B8" s="860"/>
      <c r="C8" s="860"/>
      <c r="D8" s="861"/>
      <c r="E8" s="863"/>
      <c r="F8" s="863"/>
      <c r="G8" s="865" t="s">
        <v>17</v>
      </c>
      <c r="H8" s="865" t="s">
        <v>18</v>
      </c>
      <c r="I8" s="865"/>
      <c r="J8" s="863"/>
      <c r="K8" s="860"/>
      <c r="L8" s="860"/>
    </row>
    <row r="9" spans="1:12" ht="15.75" customHeight="1">
      <c r="A9" s="866">
        <v>1</v>
      </c>
      <c r="B9" s="867">
        <v>2</v>
      </c>
      <c r="C9" s="867">
        <v>3</v>
      </c>
      <c r="D9" s="868"/>
      <c r="E9" s="869">
        <v>5</v>
      </c>
      <c r="F9" s="868">
        <v>6</v>
      </c>
      <c r="G9" s="868">
        <v>7</v>
      </c>
      <c r="H9" s="868">
        <v>8</v>
      </c>
      <c r="I9" s="868">
        <v>9</v>
      </c>
      <c r="J9" s="867">
        <v>10</v>
      </c>
      <c r="K9" s="867">
        <v>11</v>
      </c>
      <c r="L9" s="867">
        <v>12</v>
      </c>
    </row>
    <row r="10" spans="1:12" ht="18" customHeight="1">
      <c r="A10" s="453" t="s">
        <v>538</v>
      </c>
      <c r="B10" s="453"/>
      <c r="C10" s="453"/>
      <c r="D10" s="453"/>
      <c r="E10" s="453"/>
      <c r="F10" s="453"/>
      <c r="G10" s="453"/>
      <c r="H10" s="453"/>
      <c r="I10" s="453"/>
      <c r="J10" s="453"/>
      <c r="K10" s="453"/>
      <c r="L10" s="453"/>
    </row>
    <row r="11" spans="1:12" ht="19.5" customHeight="1">
      <c r="A11" s="870" t="s">
        <v>539</v>
      </c>
      <c r="B11" s="870"/>
      <c r="C11" s="870"/>
      <c r="D11" s="870"/>
      <c r="E11" s="870"/>
      <c r="F11" s="870"/>
      <c r="G11" s="870"/>
      <c r="H11" s="870"/>
      <c r="I11" s="870"/>
      <c r="J11" s="870"/>
      <c r="K11" s="870"/>
      <c r="L11" s="870"/>
    </row>
    <row r="12" spans="1:12" ht="22.5" customHeight="1">
      <c r="A12" s="871" t="s">
        <v>540</v>
      </c>
      <c r="B12" s="871"/>
      <c r="C12" s="871"/>
      <c r="D12" s="871"/>
      <c r="E12" s="871"/>
      <c r="F12" s="871"/>
      <c r="G12" s="871"/>
      <c r="H12" s="871"/>
      <c r="I12" s="871"/>
      <c r="J12" s="871"/>
      <c r="K12" s="871"/>
      <c r="L12" s="871"/>
    </row>
    <row r="13" spans="1:12" ht="17.25" customHeight="1">
      <c r="A13" s="872" t="s">
        <v>541</v>
      </c>
      <c r="B13" s="226" t="s">
        <v>542</v>
      </c>
      <c r="C13" s="873">
        <v>2017</v>
      </c>
      <c r="D13" s="874">
        <f>E13+F13+I13+J13</f>
        <v>7815.7</v>
      </c>
      <c r="E13" s="875">
        <v>7815.7</v>
      </c>
      <c r="F13" s="875">
        <f>G13+H13</f>
        <v>0</v>
      </c>
      <c r="G13" s="875">
        <v>0</v>
      </c>
      <c r="H13" s="875">
        <v>0</v>
      </c>
      <c r="I13" s="875">
        <v>0</v>
      </c>
      <c r="J13" s="875">
        <v>0</v>
      </c>
      <c r="K13" s="876" t="s">
        <v>543</v>
      </c>
      <c r="L13" s="877" t="s">
        <v>544</v>
      </c>
    </row>
    <row r="14" spans="1:12" ht="16.5" customHeight="1">
      <c r="A14" s="872"/>
      <c r="B14" s="226"/>
      <c r="C14" s="873"/>
      <c r="D14" s="874"/>
      <c r="E14" s="875"/>
      <c r="F14" s="875"/>
      <c r="G14" s="875"/>
      <c r="H14" s="875"/>
      <c r="I14" s="875"/>
      <c r="J14" s="875"/>
      <c r="K14" s="876"/>
      <c r="L14" s="877"/>
    </row>
    <row r="15" spans="1:12" ht="17.25" customHeight="1">
      <c r="A15" s="872"/>
      <c r="B15" s="226"/>
      <c r="C15" s="878">
        <v>2018</v>
      </c>
      <c r="D15" s="879">
        <f aca="true" t="shared" si="0" ref="D15:D16">E15+F15+I15+J15</f>
        <v>10048.5</v>
      </c>
      <c r="E15" s="880">
        <f>7833+1424.4+791.1</f>
        <v>10048.5</v>
      </c>
      <c r="F15" s="880">
        <f aca="true" t="shared" si="1" ref="F15:F16">G15+H15</f>
        <v>0</v>
      </c>
      <c r="G15" s="880">
        <v>0</v>
      </c>
      <c r="H15" s="880">
        <v>0</v>
      </c>
      <c r="I15" s="880">
        <v>0</v>
      </c>
      <c r="J15" s="880">
        <v>0</v>
      </c>
      <c r="K15" s="876"/>
      <c r="L15" s="877"/>
    </row>
    <row r="16" spans="1:12" ht="19.5" customHeight="1">
      <c r="A16" s="872"/>
      <c r="B16" s="226"/>
      <c r="C16" s="878">
        <v>2019</v>
      </c>
      <c r="D16" s="879">
        <f t="shared" si="0"/>
        <v>10536</v>
      </c>
      <c r="E16" s="880">
        <v>10536</v>
      </c>
      <c r="F16" s="880">
        <f t="shared" si="1"/>
        <v>0</v>
      </c>
      <c r="G16" s="880">
        <v>0</v>
      </c>
      <c r="H16" s="880">
        <v>0</v>
      </c>
      <c r="I16" s="880">
        <v>0</v>
      </c>
      <c r="J16" s="880">
        <v>0</v>
      </c>
      <c r="K16" s="876"/>
      <c r="L16" s="877"/>
    </row>
    <row r="17" spans="1:12" ht="6" customHeight="1">
      <c r="A17" s="872"/>
      <c r="B17" s="226"/>
      <c r="C17" s="878"/>
      <c r="D17" s="879"/>
      <c r="E17" s="880"/>
      <c r="F17" s="880"/>
      <c r="G17" s="880"/>
      <c r="H17" s="880"/>
      <c r="I17" s="880"/>
      <c r="J17" s="880"/>
      <c r="K17" s="876"/>
      <c r="L17" s="877"/>
    </row>
    <row r="18" spans="1:12" ht="27" customHeight="1">
      <c r="A18" s="872"/>
      <c r="B18" s="226"/>
      <c r="C18" s="878">
        <v>2020</v>
      </c>
      <c r="D18" s="879">
        <f aca="true" t="shared" si="2" ref="D18:D23">E18+F18+I18+J18</f>
        <v>9643.9</v>
      </c>
      <c r="E18" s="880">
        <f>11039-1395.1</f>
        <v>9643.9</v>
      </c>
      <c r="F18" s="880">
        <f aca="true" t="shared" si="3" ref="F18:F20">G18+H18</f>
        <v>0</v>
      </c>
      <c r="G18" s="880">
        <v>0</v>
      </c>
      <c r="H18" s="880">
        <v>0</v>
      </c>
      <c r="I18" s="880">
        <v>0</v>
      </c>
      <c r="J18" s="880">
        <v>0</v>
      </c>
      <c r="K18" s="876"/>
      <c r="L18" s="877"/>
    </row>
    <row r="19" spans="1:12" ht="27" customHeight="1">
      <c r="A19" s="872"/>
      <c r="B19" s="226"/>
      <c r="C19" s="878">
        <v>2021</v>
      </c>
      <c r="D19" s="881">
        <f t="shared" si="2"/>
        <v>10536</v>
      </c>
      <c r="E19" s="882">
        <f>5000+5451+85</f>
        <v>10536</v>
      </c>
      <c r="F19" s="880">
        <f t="shared" si="3"/>
        <v>0</v>
      </c>
      <c r="G19" s="880">
        <v>0</v>
      </c>
      <c r="H19" s="880">
        <v>0</v>
      </c>
      <c r="I19" s="880">
        <v>0</v>
      </c>
      <c r="J19" s="880">
        <v>0</v>
      </c>
      <c r="K19" s="876"/>
      <c r="L19" s="877"/>
    </row>
    <row r="20" spans="1:12" ht="22.5" customHeight="1">
      <c r="A20" s="872"/>
      <c r="B20" s="226"/>
      <c r="C20" s="878">
        <v>2022</v>
      </c>
      <c r="D20" s="881">
        <f t="shared" si="2"/>
        <v>9798.9</v>
      </c>
      <c r="E20" s="882">
        <v>9798.9</v>
      </c>
      <c r="F20" s="880">
        <f t="shared" si="3"/>
        <v>0</v>
      </c>
      <c r="G20" s="880">
        <v>0</v>
      </c>
      <c r="H20" s="880">
        <v>0</v>
      </c>
      <c r="I20" s="880">
        <v>0</v>
      </c>
      <c r="J20" s="880">
        <v>0</v>
      </c>
      <c r="K20" s="876"/>
      <c r="L20" s="877"/>
    </row>
    <row r="21" spans="1:12" ht="22.5" customHeight="1">
      <c r="A21" s="872"/>
      <c r="B21" s="226"/>
      <c r="C21" s="878">
        <v>2023</v>
      </c>
      <c r="D21" s="881">
        <f t="shared" si="2"/>
        <v>13172.6</v>
      </c>
      <c r="E21" s="882">
        <v>13172.6</v>
      </c>
      <c r="F21" s="880"/>
      <c r="G21" s="880"/>
      <c r="H21" s="880"/>
      <c r="I21" s="880"/>
      <c r="J21" s="880"/>
      <c r="K21" s="876"/>
      <c r="L21" s="877"/>
    </row>
    <row r="22" spans="1:12" ht="22.5" customHeight="1">
      <c r="A22" s="872"/>
      <c r="B22" s="226"/>
      <c r="C22" s="883">
        <v>2024</v>
      </c>
      <c r="D22" s="884">
        <f t="shared" si="2"/>
        <v>9846</v>
      </c>
      <c r="E22" s="885">
        <v>9846</v>
      </c>
      <c r="F22" s="886"/>
      <c r="G22" s="886"/>
      <c r="H22" s="886"/>
      <c r="I22" s="886"/>
      <c r="J22" s="886"/>
      <c r="K22" s="876"/>
      <c r="L22" s="877"/>
    </row>
    <row r="23" spans="1:12" ht="22.5" customHeight="1">
      <c r="A23" s="872"/>
      <c r="B23" s="226"/>
      <c r="C23" s="883">
        <v>2025</v>
      </c>
      <c r="D23" s="884">
        <f t="shared" si="2"/>
        <v>9846</v>
      </c>
      <c r="E23" s="885">
        <v>9846</v>
      </c>
      <c r="F23" s="887"/>
      <c r="G23" s="887"/>
      <c r="H23" s="887"/>
      <c r="I23" s="887"/>
      <c r="J23" s="887"/>
      <c r="K23" s="876"/>
      <c r="L23" s="877"/>
    </row>
    <row r="24" spans="1:12" s="889" customFormat="1" ht="22.5" customHeight="1">
      <c r="A24" s="888" t="s">
        <v>545</v>
      </c>
      <c r="B24" s="888"/>
      <c r="C24" s="888"/>
      <c r="D24" s="888"/>
      <c r="E24" s="888"/>
      <c r="F24" s="888"/>
      <c r="G24" s="888"/>
      <c r="H24" s="888"/>
      <c r="I24" s="888"/>
      <c r="J24" s="888"/>
      <c r="K24" s="888"/>
      <c r="L24" s="888"/>
    </row>
    <row r="25" spans="1:12" s="890" customFormat="1" ht="22.5" customHeight="1">
      <c r="A25" s="870" t="s">
        <v>539</v>
      </c>
      <c r="B25" s="870"/>
      <c r="C25" s="870"/>
      <c r="D25" s="870"/>
      <c r="E25" s="870"/>
      <c r="F25" s="870"/>
      <c r="G25" s="870"/>
      <c r="H25" s="870"/>
      <c r="I25" s="870"/>
      <c r="J25" s="870"/>
      <c r="K25" s="870"/>
      <c r="L25" s="870"/>
    </row>
    <row r="26" spans="1:12" ht="32.25" customHeight="1">
      <c r="A26" s="891" t="s">
        <v>546</v>
      </c>
      <c r="B26" s="891"/>
      <c r="C26" s="891"/>
      <c r="D26" s="891"/>
      <c r="E26" s="891"/>
      <c r="F26" s="891"/>
      <c r="G26" s="891"/>
      <c r="H26" s="891"/>
      <c r="I26" s="891"/>
      <c r="J26" s="891"/>
      <c r="K26" s="891"/>
      <c r="L26" s="891"/>
    </row>
    <row r="27" spans="1:12" ht="21.75" customHeight="1">
      <c r="A27" s="892" t="s">
        <v>541</v>
      </c>
      <c r="B27" s="893" t="s">
        <v>547</v>
      </c>
      <c r="C27" s="894">
        <v>2017</v>
      </c>
      <c r="D27" s="895">
        <f aca="true" t="shared" si="4" ref="D27:D35">E27+F27+I27+J27</f>
        <v>3554.8</v>
      </c>
      <c r="E27" s="896">
        <v>3554.8</v>
      </c>
      <c r="F27" s="896">
        <f aca="true" t="shared" si="5" ref="F27:F32">G27+H27</f>
        <v>0</v>
      </c>
      <c r="G27" s="896">
        <v>0</v>
      </c>
      <c r="H27" s="897">
        <v>0</v>
      </c>
      <c r="I27" s="898">
        <v>0</v>
      </c>
      <c r="J27" s="899">
        <v>0</v>
      </c>
      <c r="K27" s="900" t="s">
        <v>543</v>
      </c>
      <c r="L27" s="901" t="s">
        <v>548</v>
      </c>
    </row>
    <row r="28" spans="1:12" ht="21.75" customHeight="1">
      <c r="A28" s="892"/>
      <c r="B28" s="893"/>
      <c r="C28" s="902">
        <v>2018</v>
      </c>
      <c r="D28" s="903">
        <f t="shared" si="4"/>
        <v>4738.472699999999</v>
      </c>
      <c r="E28" s="904">
        <f>1252.0727+2556+930.4</f>
        <v>4738.472699999999</v>
      </c>
      <c r="F28" s="905">
        <f t="shared" si="5"/>
        <v>0</v>
      </c>
      <c r="G28" s="906">
        <v>0</v>
      </c>
      <c r="H28" s="907">
        <v>0</v>
      </c>
      <c r="I28" s="908">
        <v>0</v>
      </c>
      <c r="J28" s="908">
        <v>0</v>
      </c>
      <c r="K28" s="900"/>
      <c r="L28" s="901"/>
    </row>
    <row r="29" spans="1:12" ht="21.75" customHeight="1">
      <c r="A29" s="892"/>
      <c r="B29" s="893"/>
      <c r="C29" s="902">
        <v>2019</v>
      </c>
      <c r="D29" s="909">
        <f t="shared" si="4"/>
        <v>1200</v>
      </c>
      <c r="E29" s="910">
        <v>1200</v>
      </c>
      <c r="F29" s="905">
        <f t="shared" si="5"/>
        <v>0</v>
      </c>
      <c r="G29" s="906">
        <v>0</v>
      </c>
      <c r="H29" s="907">
        <v>0</v>
      </c>
      <c r="I29" s="911">
        <v>0</v>
      </c>
      <c r="J29" s="908">
        <v>0</v>
      </c>
      <c r="K29" s="900"/>
      <c r="L29" s="901"/>
    </row>
    <row r="30" spans="1:12" ht="21.75" customHeight="1">
      <c r="A30" s="892"/>
      <c r="B30" s="893"/>
      <c r="C30" s="902">
        <v>2020</v>
      </c>
      <c r="D30" s="909">
        <f t="shared" si="4"/>
        <v>2400</v>
      </c>
      <c r="E30" s="910">
        <f>1287+0.6+1112.4</f>
        <v>2400</v>
      </c>
      <c r="F30" s="905">
        <f t="shared" si="5"/>
        <v>0</v>
      </c>
      <c r="G30" s="906">
        <v>0</v>
      </c>
      <c r="H30" s="907">
        <v>0</v>
      </c>
      <c r="I30" s="908">
        <v>0</v>
      </c>
      <c r="J30" s="908">
        <v>0</v>
      </c>
      <c r="K30" s="900"/>
      <c r="L30" s="901"/>
    </row>
    <row r="31" spans="1:12" ht="21.75" customHeight="1">
      <c r="A31" s="892"/>
      <c r="B31" s="893"/>
      <c r="C31" s="902">
        <v>2021</v>
      </c>
      <c r="D31" s="909">
        <f t="shared" si="4"/>
        <v>3730.5</v>
      </c>
      <c r="E31" s="910">
        <v>3730.5</v>
      </c>
      <c r="F31" s="912">
        <f t="shared" si="5"/>
        <v>0</v>
      </c>
      <c r="G31" s="906">
        <v>0</v>
      </c>
      <c r="H31" s="913">
        <v>0</v>
      </c>
      <c r="I31" s="908">
        <v>0</v>
      </c>
      <c r="J31" s="908">
        <v>0</v>
      </c>
      <c r="K31" s="900"/>
      <c r="L31" s="901"/>
    </row>
    <row r="32" spans="1:12" ht="21.75" customHeight="1">
      <c r="A32" s="892"/>
      <c r="B32" s="893"/>
      <c r="C32" s="902">
        <v>2022</v>
      </c>
      <c r="D32" s="914">
        <f t="shared" si="4"/>
        <v>4032.48</v>
      </c>
      <c r="E32" s="910">
        <v>4032.48</v>
      </c>
      <c r="F32" s="905">
        <f t="shared" si="5"/>
        <v>0</v>
      </c>
      <c r="G32" s="906">
        <v>0</v>
      </c>
      <c r="H32" s="907">
        <v>0</v>
      </c>
      <c r="I32" s="915">
        <v>0</v>
      </c>
      <c r="J32" s="915">
        <v>0</v>
      </c>
      <c r="K32" s="900"/>
      <c r="L32" s="901"/>
    </row>
    <row r="33" spans="1:12" ht="21.75" customHeight="1">
      <c r="A33" s="892"/>
      <c r="B33" s="893"/>
      <c r="C33" s="916">
        <v>2023</v>
      </c>
      <c r="D33" s="917">
        <f t="shared" si="4"/>
        <v>5007.2</v>
      </c>
      <c r="E33" s="918">
        <v>5007.2</v>
      </c>
      <c r="F33" s="919">
        <v>0</v>
      </c>
      <c r="G33" s="920">
        <v>0</v>
      </c>
      <c r="H33" s="921">
        <v>0</v>
      </c>
      <c r="I33" s="921">
        <v>0</v>
      </c>
      <c r="J33" s="922">
        <v>0</v>
      </c>
      <c r="K33" s="900"/>
      <c r="L33" s="901"/>
    </row>
    <row r="34" spans="1:12" ht="21.75" customHeight="1">
      <c r="A34" s="892"/>
      <c r="B34" s="893"/>
      <c r="C34" s="923">
        <v>2024</v>
      </c>
      <c r="D34" s="924">
        <f t="shared" si="4"/>
        <v>5279.2</v>
      </c>
      <c r="E34" s="925">
        <v>5279.2</v>
      </c>
      <c r="F34" s="926">
        <v>0</v>
      </c>
      <c r="G34" s="927">
        <v>0</v>
      </c>
      <c r="H34" s="928">
        <v>0</v>
      </c>
      <c r="I34" s="928">
        <v>0</v>
      </c>
      <c r="J34" s="929">
        <v>0</v>
      </c>
      <c r="K34" s="900"/>
      <c r="L34" s="901"/>
    </row>
    <row r="35" spans="1:22" ht="21.75" customHeight="1">
      <c r="A35" s="892"/>
      <c r="B35" s="893"/>
      <c r="C35" s="923">
        <v>2025</v>
      </c>
      <c r="D35" s="924">
        <f t="shared" si="4"/>
        <v>5279.2</v>
      </c>
      <c r="E35" s="925">
        <v>5279.2</v>
      </c>
      <c r="F35" s="926">
        <v>0</v>
      </c>
      <c r="G35" s="927">
        <v>0</v>
      </c>
      <c r="H35" s="928">
        <v>0</v>
      </c>
      <c r="I35" s="928">
        <v>0</v>
      </c>
      <c r="J35" s="929">
        <v>0</v>
      </c>
      <c r="K35" s="900"/>
      <c r="L35" s="901"/>
      <c r="S35" s="930"/>
      <c r="T35" s="930"/>
      <c r="U35" s="930"/>
      <c r="V35" s="930"/>
    </row>
    <row r="36" spans="1:12" s="937" customFormat="1" ht="25.5" customHeight="1">
      <c r="A36" s="931" t="s">
        <v>549</v>
      </c>
      <c r="B36" s="931"/>
      <c r="C36" s="169" t="s">
        <v>460</v>
      </c>
      <c r="D36" s="932">
        <f>SUM(D38:D46)</f>
        <v>126465.4527</v>
      </c>
      <c r="E36" s="932">
        <f>SUM(E38:E46)</f>
        <v>126465.4527</v>
      </c>
      <c r="F36" s="933">
        <f>SUM(F38:F47)</f>
        <v>0</v>
      </c>
      <c r="G36" s="933">
        <v>0</v>
      </c>
      <c r="H36" s="933">
        <v>0</v>
      </c>
      <c r="I36" s="933">
        <v>0</v>
      </c>
      <c r="J36" s="934">
        <v>0</v>
      </c>
      <c r="K36" s="935"/>
      <c r="L36" s="936"/>
    </row>
    <row r="37" spans="1:12" s="937" customFormat="1" ht="21" customHeight="1">
      <c r="A37" s="931"/>
      <c r="B37" s="931"/>
      <c r="C37" s="938"/>
      <c r="D37" s="939"/>
      <c r="E37" s="939"/>
      <c r="F37" s="939"/>
      <c r="G37" s="940"/>
      <c r="H37" s="309"/>
      <c r="I37" s="941"/>
      <c r="J37" s="942"/>
      <c r="K37" s="935"/>
      <c r="L37" s="936"/>
    </row>
    <row r="38" spans="1:12" s="937" customFormat="1" ht="21.75" customHeight="1">
      <c r="A38" s="931"/>
      <c r="B38" s="931"/>
      <c r="C38" s="569">
        <v>2017</v>
      </c>
      <c r="D38" s="943">
        <f>E38+G38+H38+I38</f>
        <v>11370.5</v>
      </c>
      <c r="E38" s="943">
        <f>E13+E27</f>
        <v>11370.5</v>
      </c>
      <c r="F38" s="944">
        <f aca="true" t="shared" si="6" ref="F38:F39">G38+H38</f>
        <v>0</v>
      </c>
      <c r="G38" s="945">
        <f>G13+G27</f>
        <v>0</v>
      </c>
      <c r="H38" s="945">
        <f>H13+H27</f>
        <v>0</v>
      </c>
      <c r="I38" s="946">
        <f>I13+I27</f>
        <v>0</v>
      </c>
      <c r="J38" s="946">
        <f>J13+J27</f>
        <v>0</v>
      </c>
      <c r="K38" s="935"/>
      <c r="L38" s="936"/>
    </row>
    <row r="39" spans="1:12" s="937" customFormat="1" ht="21.75" customHeight="1">
      <c r="A39" s="931"/>
      <c r="B39" s="931"/>
      <c r="C39" s="572">
        <v>2018</v>
      </c>
      <c r="D39" s="947">
        <f aca="true" t="shared" si="7" ref="D39:D40">D15+D28</f>
        <v>14786.972699999998</v>
      </c>
      <c r="E39" s="947">
        <f aca="true" t="shared" si="8" ref="E39:E40">E15+E28</f>
        <v>14786.972699999998</v>
      </c>
      <c r="F39" s="948">
        <f t="shared" si="6"/>
        <v>0</v>
      </c>
      <c r="G39" s="949">
        <f>G15+G28</f>
        <v>0</v>
      </c>
      <c r="H39" s="949">
        <f aca="true" t="shared" si="9" ref="H39:H40">H15+H28</f>
        <v>0</v>
      </c>
      <c r="I39" s="950">
        <f>I15+I28</f>
        <v>0</v>
      </c>
      <c r="J39" s="950">
        <f>J15+J28</f>
        <v>0</v>
      </c>
      <c r="K39" s="935"/>
      <c r="L39" s="936"/>
    </row>
    <row r="40" spans="1:12" s="937" customFormat="1" ht="21.75" customHeight="1">
      <c r="A40" s="931"/>
      <c r="B40" s="931"/>
      <c r="C40" s="572">
        <v>2019</v>
      </c>
      <c r="D40" s="947">
        <f t="shared" si="7"/>
        <v>11736</v>
      </c>
      <c r="E40" s="947">
        <f t="shared" si="8"/>
        <v>11736</v>
      </c>
      <c r="F40" s="948">
        <v>0</v>
      </c>
      <c r="G40" s="949">
        <v>0</v>
      </c>
      <c r="H40" s="949">
        <f t="shared" si="9"/>
        <v>0</v>
      </c>
      <c r="I40" s="950">
        <v>0</v>
      </c>
      <c r="J40" s="950">
        <v>0</v>
      </c>
      <c r="K40" s="935"/>
      <c r="L40" s="936"/>
    </row>
    <row r="41" spans="1:12" s="937" customFormat="1" ht="21.75" customHeight="1">
      <c r="A41" s="931"/>
      <c r="B41" s="931"/>
      <c r="C41" s="572">
        <v>2020</v>
      </c>
      <c r="D41" s="947">
        <f aca="true" t="shared" si="10" ref="D41:D46">D18+D30</f>
        <v>12043.9</v>
      </c>
      <c r="E41" s="947">
        <f aca="true" t="shared" si="11" ref="E41:E46">E18+E30</f>
        <v>12043.9</v>
      </c>
      <c r="F41" s="948">
        <v>0</v>
      </c>
      <c r="G41" s="949">
        <v>0</v>
      </c>
      <c r="H41" s="949">
        <f aca="true" t="shared" si="12" ref="H41:H46">H18+H30</f>
        <v>0</v>
      </c>
      <c r="I41" s="949">
        <v>0</v>
      </c>
      <c r="J41" s="950">
        <v>0</v>
      </c>
      <c r="K41" s="935"/>
      <c r="L41" s="936"/>
    </row>
    <row r="42" spans="1:12" s="937" customFormat="1" ht="21.75" customHeight="1">
      <c r="A42" s="931"/>
      <c r="B42" s="931"/>
      <c r="C42" s="572">
        <v>2021</v>
      </c>
      <c r="D42" s="947">
        <f t="shared" si="10"/>
        <v>14266.5</v>
      </c>
      <c r="E42" s="947">
        <f t="shared" si="11"/>
        <v>14266.5</v>
      </c>
      <c r="F42" s="948">
        <f aca="true" t="shared" si="13" ref="F42:F46">F19+F31</f>
        <v>0</v>
      </c>
      <c r="G42" s="948">
        <v>0</v>
      </c>
      <c r="H42" s="948">
        <f t="shared" si="12"/>
        <v>0</v>
      </c>
      <c r="I42" s="948">
        <f aca="true" t="shared" si="14" ref="I42:I46">I19+I31</f>
        <v>0</v>
      </c>
      <c r="J42" s="951">
        <f aca="true" t="shared" si="15" ref="J42:J46">J19+J31</f>
        <v>0</v>
      </c>
      <c r="K42" s="935"/>
      <c r="L42" s="936"/>
    </row>
    <row r="43" spans="1:12" s="937" customFormat="1" ht="21.75" customHeight="1">
      <c r="A43" s="931"/>
      <c r="B43" s="931"/>
      <c r="C43" s="572">
        <v>2022</v>
      </c>
      <c r="D43" s="947">
        <f t="shared" si="10"/>
        <v>13831.38</v>
      </c>
      <c r="E43" s="947">
        <f t="shared" si="11"/>
        <v>13831.38</v>
      </c>
      <c r="F43" s="948">
        <f t="shared" si="13"/>
        <v>0</v>
      </c>
      <c r="G43" s="948">
        <v>0</v>
      </c>
      <c r="H43" s="948">
        <f t="shared" si="12"/>
        <v>0</v>
      </c>
      <c r="I43" s="948">
        <f t="shared" si="14"/>
        <v>0</v>
      </c>
      <c r="J43" s="951">
        <f t="shared" si="15"/>
        <v>0</v>
      </c>
      <c r="K43" s="935"/>
      <c r="L43" s="936"/>
    </row>
    <row r="44" spans="1:12" s="937" customFormat="1" ht="21.75" customHeight="1">
      <c r="A44" s="931"/>
      <c r="B44" s="931"/>
      <c r="C44" s="572">
        <v>2023</v>
      </c>
      <c r="D44" s="947">
        <f t="shared" si="10"/>
        <v>18179.8</v>
      </c>
      <c r="E44" s="947">
        <f t="shared" si="11"/>
        <v>18179.8</v>
      </c>
      <c r="F44" s="948">
        <f t="shared" si="13"/>
        <v>0</v>
      </c>
      <c r="G44" s="948">
        <v>0</v>
      </c>
      <c r="H44" s="948">
        <f t="shared" si="12"/>
        <v>0</v>
      </c>
      <c r="I44" s="948">
        <f t="shared" si="14"/>
        <v>0</v>
      </c>
      <c r="J44" s="951">
        <f t="shared" si="15"/>
        <v>0</v>
      </c>
      <c r="K44" s="935"/>
      <c r="L44" s="936"/>
    </row>
    <row r="45" spans="1:12" s="937" customFormat="1" ht="21.75" customHeight="1">
      <c r="A45" s="931"/>
      <c r="B45" s="931"/>
      <c r="C45" s="577">
        <v>2024</v>
      </c>
      <c r="D45" s="952">
        <f t="shared" si="10"/>
        <v>15125.2</v>
      </c>
      <c r="E45" s="952">
        <f t="shared" si="11"/>
        <v>15125.2</v>
      </c>
      <c r="F45" s="948">
        <f t="shared" si="13"/>
        <v>0</v>
      </c>
      <c r="G45" s="948">
        <v>0</v>
      </c>
      <c r="H45" s="948">
        <f t="shared" si="12"/>
        <v>0</v>
      </c>
      <c r="I45" s="948">
        <f t="shared" si="14"/>
        <v>0</v>
      </c>
      <c r="J45" s="951">
        <f t="shared" si="15"/>
        <v>0</v>
      </c>
      <c r="K45" s="935"/>
      <c r="L45" s="936"/>
    </row>
    <row r="46" spans="1:12" s="937" customFormat="1" ht="21.75" customHeight="1">
      <c r="A46" s="931"/>
      <c r="B46" s="931"/>
      <c r="C46" s="953">
        <v>2025</v>
      </c>
      <c r="D46" s="954">
        <f t="shared" si="10"/>
        <v>15125.2</v>
      </c>
      <c r="E46" s="954">
        <f t="shared" si="11"/>
        <v>15125.2</v>
      </c>
      <c r="F46" s="948">
        <f t="shared" si="13"/>
        <v>0</v>
      </c>
      <c r="G46" s="948">
        <v>0</v>
      </c>
      <c r="H46" s="948">
        <f t="shared" si="12"/>
        <v>0</v>
      </c>
      <c r="I46" s="948">
        <f t="shared" si="14"/>
        <v>0</v>
      </c>
      <c r="J46" s="951">
        <f t="shared" si="15"/>
        <v>0</v>
      </c>
      <c r="K46" s="935"/>
      <c r="L46" s="936"/>
    </row>
    <row r="47" spans="1:12" ht="18.75" customHeight="1">
      <c r="A47" s="955"/>
      <c r="B47" s="956"/>
      <c r="C47" s="957"/>
      <c r="D47" s="958"/>
      <c r="E47" s="958"/>
      <c r="F47" s="958"/>
      <c r="G47" s="958"/>
      <c r="H47" s="958"/>
      <c r="I47" s="958"/>
      <c r="J47" s="958"/>
      <c r="K47" s="959"/>
      <c r="L47" s="959"/>
    </row>
    <row r="48" spans="1:11" ht="18.75" customHeight="1">
      <c r="A48" s="955"/>
      <c r="B48" s="957"/>
      <c r="C48" s="957"/>
      <c r="D48" s="958"/>
      <c r="E48" s="958"/>
      <c r="F48" s="958"/>
      <c r="G48" s="958"/>
      <c r="H48" s="958"/>
      <c r="I48" s="958"/>
      <c r="J48" s="958"/>
      <c r="K48" s="959"/>
    </row>
    <row r="49" ht="21" customHeight="1"/>
    <row r="50" spans="1:11" ht="24">
      <c r="A50" s="857"/>
      <c r="B50" s="4"/>
      <c r="C50" s="683"/>
      <c r="D50" s="960"/>
      <c r="E50" s="4"/>
      <c r="F50" s="4"/>
      <c r="G50" s="2"/>
      <c r="H50" s="678"/>
      <c r="I50" s="4"/>
      <c r="J50" s="4"/>
      <c r="K50" s="2"/>
    </row>
    <row r="51" spans="1:11" ht="24">
      <c r="A51" s="857"/>
      <c r="B51" s="4"/>
      <c r="C51" s="683"/>
      <c r="D51" s="960"/>
      <c r="E51" s="4"/>
      <c r="F51" s="4"/>
      <c r="G51" s="2"/>
      <c r="H51" s="4"/>
      <c r="I51" s="4"/>
      <c r="J51" s="4"/>
      <c r="K51" s="2"/>
    </row>
    <row r="52" spans="1:11" ht="13.5" customHeight="1">
      <c r="A52" s="857"/>
      <c r="B52" s="4"/>
      <c r="C52" s="683"/>
      <c r="D52" s="960"/>
      <c r="E52" s="4"/>
      <c r="F52" s="4"/>
      <c r="G52" s="2"/>
      <c r="H52" s="4"/>
      <c r="I52" s="4"/>
      <c r="J52" s="4"/>
      <c r="K52" s="2"/>
    </row>
    <row r="53" spans="1:11" ht="24">
      <c r="A53" s="857"/>
      <c r="B53" s="4"/>
      <c r="C53" s="683"/>
      <c r="D53" s="960"/>
      <c r="E53" s="4"/>
      <c r="F53" s="4"/>
      <c r="G53" s="2"/>
      <c r="H53" s="4"/>
      <c r="I53" s="4"/>
      <c r="J53" s="4"/>
      <c r="K53" s="2"/>
    </row>
    <row r="54" spans="1:11" ht="11.25" customHeight="1">
      <c r="A54" s="857"/>
      <c r="B54" s="4"/>
      <c r="C54" s="683"/>
      <c r="D54" s="960"/>
      <c r="E54" s="4"/>
      <c r="F54" s="4"/>
      <c r="G54" s="2"/>
      <c r="H54" s="4"/>
      <c r="I54" s="4"/>
      <c r="J54" s="4"/>
      <c r="K54" s="2"/>
    </row>
    <row r="55" spans="1:11" ht="24">
      <c r="A55" s="857"/>
      <c r="B55" s="4"/>
      <c r="C55" s="961"/>
      <c r="D55" s="960"/>
      <c r="E55" s="4"/>
      <c r="F55" s="4"/>
      <c r="G55" s="2"/>
      <c r="H55" s="4"/>
      <c r="I55" s="4"/>
      <c r="J55" s="4"/>
      <c r="K55" s="2"/>
    </row>
    <row r="56" spans="1:8" ht="14.25">
      <c r="A56" s="857"/>
      <c r="B56" s="857"/>
      <c r="C56" s="857"/>
      <c r="D56" s="857"/>
      <c r="E56" s="857"/>
      <c r="F56" s="857"/>
      <c r="G56" s="857"/>
      <c r="H56" s="857"/>
    </row>
    <row r="57" spans="1:8" ht="14.25">
      <c r="A57" s="857"/>
      <c r="B57" s="857"/>
      <c r="C57" s="857"/>
      <c r="D57" s="857"/>
      <c r="E57" s="857"/>
      <c r="F57" s="857"/>
      <c r="G57" s="857"/>
      <c r="H57" s="857"/>
    </row>
    <row r="58" spans="1:8" ht="14.25">
      <c r="A58" s="857"/>
      <c r="B58" s="857"/>
      <c r="C58" s="857"/>
      <c r="D58" s="857"/>
      <c r="E58" s="857"/>
      <c r="F58" s="857"/>
      <c r="G58" s="857"/>
      <c r="H58" s="857"/>
    </row>
    <row r="59" spans="1:8" ht="14.25">
      <c r="A59" s="857"/>
      <c r="B59" s="857"/>
      <c r="C59" s="857"/>
      <c r="D59" s="857"/>
      <c r="E59" s="857"/>
      <c r="F59" s="857"/>
      <c r="G59" s="857"/>
      <c r="H59" s="857"/>
    </row>
    <row r="60" ht="14.25">
      <c r="B60" s="857"/>
    </row>
    <row r="63" spans="2:7" ht="14.25">
      <c r="B63" s="856"/>
      <c r="C63" s="857"/>
      <c r="D63" s="857"/>
      <c r="E63" s="857"/>
      <c r="F63" s="857"/>
      <c r="G63" s="856"/>
    </row>
    <row r="64" spans="2:7" ht="14.25">
      <c r="B64" s="856"/>
      <c r="C64" s="857"/>
      <c r="D64" s="857"/>
      <c r="E64" s="857"/>
      <c r="F64" s="857"/>
      <c r="G64" s="856"/>
    </row>
    <row r="65" spans="2:7" ht="14.25">
      <c r="B65" s="856"/>
      <c r="C65" s="857"/>
      <c r="D65" s="857"/>
      <c r="E65" s="857"/>
      <c r="F65" s="857"/>
      <c r="G65" s="856"/>
    </row>
    <row r="66" spans="2:7" ht="14.25">
      <c r="B66" s="856"/>
      <c r="C66" s="857"/>
      <c r="D66" s="857"/>
      <c r="E66" s="857"/>
      <c r="F66" s="857"/>
      <c r="G66" s="856"/>
    </row>
    <row r="67" spans="2:7" ht="14.25">
      <c r="B67" s="856"/>
      <c r="C67" s="857"/>
      <c r="D67" s="857"/>
      <c r="E67" s="857"/>
      <c r="F67" s="857"/>
      <c r="G67" s="856"/>
    </row>
    <row r="68" spans="2:7" ht="14.25">
      <c r="B68" s="856"/>
      <c r="C68" s="857"/>
      <c r="D68" s="857"/>
      <c r="E68" s="857"/>
      <c r="F68" s="857"/>
      <c r="G68" s="856"/>
    </row>
    <row r="69" spans="2:7" ht="14.25">
      <c r="B69" s="856"/>
      <c r="C69" s="857"/>
      <c r="D69" s="857"/>
      <c r="E69" s="857"/>
      <c r="F69" s="857"/>
      <c r="G69" s="856"/>
    </row>
    <row r="70" spans="2:7" ht="14.25">
      <c r="B70" s="856"/>
      <c r="C70" s="857"/>
      <c r="D70" s="857"/>
      <c r="E70" s="857"/>
      <c r="F70" s="857"/>
      <c r="G70" s="856"/>
    </row>
    <row r="71" spans="2:7" ht="14.25">
      <c r="B71" s="856"/>
      <c r="C71" s="857"/>
      <c r="D71" s="857"/>
      <c r="E71" s="857"/>
      <c r="F71" s="857"/>
      <c r="G71" s="857"/>
    </row>
    <row r="72" spans="2:7" ht="14.25">
      <c r="B72" s="856"/>
      <c r="C72" s="857"/>
      <c r="D72" s="857"/>
      <c r="E72" s="857"/>
      <c r="F72" s="857"/>
      <c r="G72" s="857"/>
    </row>
    <row r="73" spans="2:7" ht="14.25">
      <c r="B73" s="856"/>
      <c r="C73" s="857"/>
      <c r="D73" s="857"/>
      <c r="E73" s="857"/>
      <c r="F73" s="857"/>
      <c r="G73" s="857"/>
    </row>
    <row r="74" spans="2:7" ht="14.25">
      <c r="B74" s="856"/>
      <c r="C74" s="857"/>
      <c r="D74" s="857"/>
      <c r="E74" s="857"/>
      <c r="F74" s="857"/>
      <c r="G74" s="857"/>
    </row>
    <row r="75" spans="2:7" ht="14.25">
      <c r="B75" s="856"/>
      <c r="C75" s="857"/>
      <c r="D75" s="857"/>
      <c r="E75" s="857"/>
      <c r="F75" s="857"/>
      <c r="G75" s="857"/>
    </row>
    <row r="76" spans="2:7" ht="14.25">
      <c r="B76" s="856"/>
      <c r="C76" s="857"/>
      <c r="D76" s="857"/>
      <c r="E76" s="857"/>
      <c r="F76" s="857"/>
      <c r="G76" s="857"/>
    </row>
  </sheetData>
  <sheetProtection selectLockedCells="1" selectUnlockedCells="1"/>
  <mergeCells count="51">
    <mergeCell ref="I1:L1"/>
    <mergeCell ref="I2:L2"/>
    <mergeCell ref="B3:L3"/>
    <mergeCell ref="A4:A8"/>
    <mergeCell ref="B4:B8"/>
    <mergeCell ref="C4:C8"/>
    <mergeCell ref="D4:D8"/>
    <mergeCell ref="E4:I4"/>
    <mergeCell ref="J4:J8"/>
    <mergeCell ref="K4:K8"/>
    <mergeCell ref="L4:L8"/>
    <mergeCell ref="E5:E8"/>
    <mergeCell ref="F5:I5"/>
    <mergeCell ref="F6:H6"/>
    <mergeCell ref="I6:I8"/>
    <mergeCell ref="F7:F8"/>
    <mergeCell ref="G7:H7"/>
    <mergeCell ref="A10:L10"/>
    <mergeCell ref="A11:L11"/>
    <mergeCell ref="A12:L12"/>
    <mergeCell ref="A13:A23"/>
    <mergeCell ref="B13:B23"/>
    <mergeCell ref="C13:C14"/>
    <mergeCell ref="D13:D14"/>
    <mergeCell ref="E13:E14"/>
    <mergeCell ref="F13:F14"/>
    <mergeCell ref="G13:G14"/>
    <mergeCell ref="H13:H14"/>
    <mergeCell ref="I13:I14"/>
    <mergeCell ref="J13:J14"/>
    <mergeCell ref="K13:K23"/>
    <mergeCell ref="L13:L23"/>
    <mergeCell ref="C16:C17"/>
    <mergeCell ref="D16:D17"/>
    <mergeCell ref="E16:E17"/>
    <mergeCell ref="F16:F17"/>
    <mergeCell ref="G16:G17"/>
    <mergeCell ref="H16:H17"/>
    <mergeCell ref="I16:I17"/>
    <mergeCell ref="J16:J17"/>
    <mergeCell ref="A24:L24"/>
    <mergeCell ref="A25:L25"/>
    <mergeCell ref="A26:L26"/>
    <mergeCell ref="A27:A35"/>
    <mergeCell ref="B27:B35"/>
    <mergeCell ref="K27:K35"/>
    <mergeCell ref="L27:L35"/>
    <mergeCell ref="A36:B46"/>
    <mergeCell ref="K36:K46"/>
    <mergeCell ref="L36:L46"/>
    <mergeCell ref="F48:H48"/>
  </mergeCells>
  <printOptions/>
  <pageMargins left="0.7875" right="0.7875" top="1.0527777777777778" bottom="1.0527777777777778" header="0.7875" footer="0.7875"/>
  <pageSetup horizontalDpi="300" verticalDpi="300" orientation="portrait" paperSize="9" scale="32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2023-12-22T11:18:19Z</cp:lastPrinted>
  <dcterms:modified xsi:type="dcterms:W3CDTF">2024-01-16T12:45:35Z</dcterms:modified>
  <cp:category/>
  <cp:version/>
  <cp:contentType/>
  <cp:contentStatus/>
  <cp:revision>1</cp:revision>
</cp:coreProperties>
</file>