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сурсное обеспечение" sheetId="1" r:id="rId1"/>
    <sheet name="под. культура" sheetId="2" state="hidden" r:id="rId2"/>
    <sheet name="подпр Физ и спорт" sheetId="3" state="hidden" r:id="rId3"/>
    <sheet name="подпр Прав культ" sheetId="4" state="hidden" r:id="rId4"/>
    <sheet name="нац политика" sheetId="5" state="hidden" r:id="rId5"/>
  </sheets>
  <definedNames>
    <definedName name="_xlnm.Print_Area" localSheetId="4">'нац политика'!$A$1:$L$59</definedName>
    <definedName name="_xlnm.Print_Area" localSheetId="1">'под. культура'!$A$1:$M$956</definedName>
    <definedName name="_xlnm._FilterDatabase" localSheetId="1" hidden="1">'под. культура'!$K$1:$K$1091</definedName>
    <definedName name="Excel_BuiltIn_Print_Area" localSheetId="1">'под. культура'!$A$1:$M$956</definedName>
    <definedName name="Excel_BuiltIn__FilterDatabase" localSheetId="1">'под. культура'!$K$1:$K$1091</definedName>
    <definedName name="Excel_BuiltIn_Print_Area" localSheetId="4">'нац политика'!$A$1:$L$59</definedName>
  </definedNames>
  <calcPr fullCalcOnLoad="1"/>
</workbook>
</file>

<file path=xl/sharedStrings.xml><?xml version="1.0" encoding="utf-8"?>
<sst xmlns="http://schemas.openxmlformats.org/spreadsheetml/2006/main" count="635" uniqueCount="405">
  <si>
    <t>Приложение  №1</t>
  </si>
  <si>
    <t xml:space="preserve"> к муниципальной программе </t>
  </si>
  <si>
    <t>«Культура, спорт и национальная политика ЗАТО г.Радужный Владимирской области»</t>
  </si>
  <si>
    <t>3. Ресурсное обеспечение муниципальной программы</t>
  </si>
  <si>
    <t>№ п/п</t>
  </si>
  <si>
    <t>Наименование программы</t>
  </si>
  <si>
    <t>Срок исполнения</t>
  </si>
  <si>
    <t xml:space="preserve">Объем финанси-рования </t>
  </si>
  <si>
    <t>Вне-бюджетные средства</t>
  </si>
  <si>
    <t>Исполнители, соисполнители, ответственные за реализацию программы</t>
  </si>
  <si>
    <t>(тыс. руб.)</t>
  </si>
  <si>
    <t>Субвен-ции</t>
  </si>
  <si>
    <t>Собственные доходы</t>
  </si>
  <si>
    <t>Субсии, иные межбюджетные трансферты</t>
  </si>
  <si>
    <t xml:space="preserve">Другие собственные доходы </t>
  </si>
  <si>
    <t>Всего</t>
  </si>
  <si>
    <t>в том числе</t>
  </si>
  <si>
    <t>из федерального бюджета</t>
  </si>
  <si>
    <t>из областного бюджета</t>
  </si>
  <si>
    <t>1.</t>
  </si>
  <si>
    <t>Муниципальная Программа «Культура, спорт  и национальная политика  на территории ЗАТО г.Радужный Владимирской области»</t>
  </si>
  <si>
    <t>МКУ «Комитет по культуре и спорту» ЗАТО г.Радужный Владимирской области</t>
  </si>
  <si>
    <t>ИТОГО по Программе</t>
  </si>
  <si>
    <t>2017-2025 годы</t>
  </si>
  <si>
    <t>1.1.</t>
  </si>
  <si>
    <t>Муниципальная подпрограмма «Культура на территории  ЗАТО г.Радужный Владимирской области»</t>
  </si>
  <si>
    <t>Итого по Подпрограмме</t>
  </si>
  <si>
    <t>1.2.</t>
  </si>
  <si>
    <t>Муниципальная подпрограмма «Развитие физической культуры и спорта на территории   ЗАТО г.Радужный Владимирской области»</t>
  </si>
  <si>
    <t>Итого по подпрограмме</t>
  </si>
  <si>
    <t>1.3.</t>
  </si>
  <si>
    <t>Муниципальная подпрограмма «Повышение правовой культуры населения на территории  ЗАТО г. Радужный Владимирской области»</t>
  </si>
  <si>
    <t>1.4.</t>
  </si>
  <si>
    <t>Муниципальная подпрограмма "Реализация государственной национальной политики на территории ЗАТО г. Радужный Владимирской области"</t>
  </si>
  <si>
    <t>2020-2025 годы</t>
  </si>
  <si>
    <t xml:space="preserve">Приложение к муниципальной подпрограмме  </t>
  </si>
  <si>
    <t>«Культура ЗАТО г.Радужный Владимирской области»</t>
  </si>
  <si>
    <t>Перечень мероприятий муниципальной подпрограммы "Культура на территории   ЗАТО г.Радужный Владимирской области"</t>
  </si>
  <si>
    <t>№        п/п</t>
  </si>
  <si>
    <t>Наименование мероприятий</t>
  </si>
  <si>
    <t>Объем финансирования (тыс.руб.)</t>
  </si>
  <si>
    <t>В том числе</t>
  </si>
  <si>
    <t>Внебюджетные средства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</si>
  <si>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</si>
  <si>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и качественные)</t>
  </si>
  <si>
    <t>Субвенции</t>
  </si>
  <si>
    <t>Субсидии, иные межбюджетные трансферты</t>
  </si>
  <si>
    <t>Другие собственные доходы</t>
  </si>
  <si>
    <t xml:space="preserve">из областного бюджета </t>
  </si>
  <si>
    <t>I. Организация досуга населения</t>
  </si>
  <si>
    <t>Цели</t>
  </si>
  <si>
    <t xml:space="preserve"> Обеспечение  единого культурного и информационного  пространства. Сохранение культурного потенциала муниципального образования. </t>
  </si>
  <si>
    <t>Задачи</t>
  </si>
  <si>
    <t>Организация библиотечного обслуживания.Поддержка молодых дарований, самодеятельного творчества.</t>
  </si>
  <si>
    <t>Комплектование книжного фонда МБУК «Общедоступная библиотека ЗАТО г.Радужный»</t>
  </si>
  <si>
    <t>МКУ "Комитет по культуре и спорту"</t>
  </si>
  <si>
    <t>Улучшение библиотечного обслуживания</t>
  </si>
  <si>
    <t>Внедрение информационных технологий в процесс библиотечного обслуживания, приобритение запчастей для оргтехники МБУК «Общедоступная библиотека ЗАТО г.Радужный»</t>
  </si>
  <si>
    <t>Организация и проведение городских творческих конкурсов и выставок детского творчества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</si>
  <si>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</si>
  <si>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Участие юных дарований в областных, региональных и международных конкурсах, выставках, фестивалях</t>
  </si>
  <si>
    <t>МКУ «Комитет по культуре и спорту»</t>
  </si>
  <si>
    <t>Повышение уровня исполнительского мастерства</t>
  </si>
  <si>
    <t>1.5.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</si>
  <si>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</si>
  <si>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</si>
  <si>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МКУ "Комитет по культуре и спорту" ; МБУК ПКиО г. Радужный; МБУК КЦ Досуг</t>
  </si>
  <si>
    <t>1.6.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</si>
  <si>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</si>
  <si>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Патриотическое воспитание, организация досуга населения</t>
  </si>
  <si>
    <t xml:space="preserve">МКУ «Комитет по культуре и спорту»; МБУДО ДШИ; МБУК  МСДЦ; </t>
  </si>
  <si>
    <t xml:space="preserve"> </t>
  </si>
  <si>
    <t>1.7.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</si>
  <si>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</si>
  <si>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</si>
  <si>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1.8.</t>
  </si>
  <si>
    <t>Развитие фестивальной деятельности, проведение и участие в творческих конкурсах, выставках, культурных обменах (Участие в Международном Благотворительном кадетском баллу)</t>
  </si>
  <si>
    <t xml:space="preserve">Выявление талантливых горожан, повышение исполнительского мастерства </t>
  </si>
  <si>
    <t>МБУДО ДШИ</t>
  </si>
  <si>
    <t>1.9.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</si>
  <si>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</si>
  <si>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</si>
  <si>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1.10.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</si>
  <si>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</si>
  <si>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</si>
  <si>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1.11</t>
  </si>
  <si>
    <t>Проведение мероприятий по празднованию Дня города</t>
  </si>
  <si>
    <t>Патриотическое воспитание, подготовка и празднование юбилея города</t>
  </si>
  <si>
    <t>МБУК ПКиО г. Радужный , МБУК КЦ «Досуг»</t>
  </si>
  <si>
    <t xml:space="preserve">МБУК ОБ ЗАТО г. Радужный </t>
  </si>
  <si>
    <t>1.12</t>
  </si>
  <si>
    <t>Уборка снега механизированным способом в Парке, экспертная проверка сметной документации, приобритение и обслуживание  биотуалетов, ремонтные работы квратир ветеранов ВОВ</t>
  </si>
  <si>
    <t xml:space="preserve">МБУК ПКиО г. Радужный </t>
  </si>
  <si>
    <t>Создание условий для сохранения  культурного потенциала муниципального  об-разования</t>
  </si>
  <si>
    <t>1.13</t>
  </si>
  <si>
    <t>Пробретение подарков в честь юбилеев МБУК К/Ц "Досуг" (40 лет) и МБУК "ПКиО"(35 лет)</t>
  </si>
  <si>
    <t>1.14</t>
  </si>
  <si>
    <t>На приобретение краски дорожной АК-511(белая) 30кг. Для МБУК К/Ц Досуг</t>
  </si>
  <si>
    <t>1.15.</t>
  </si>
  <si>
    <t>На приобретение новогодней атрибутики для проведения городских новогодних мероприятий (электрогирлянды и елочные украшение для украшение для украшение елки на территории городского парка; 2023г- приобретение искусственной елки, новогодних украшений, включая монтаж и оформление елки)</t>
  </si>
  <si>
    <t>МБУК "ЦДМ"</t>
  </si>
  <si>
    <t>1.16.</t>
  </si>
  <si>
    <t>Проведение праздничных мероприятий, посвященных 75-летию Победы</t>
  </si>
  <si>
    <t xml:space="preserve">Субсидия на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
</t>
  </si>
  <si>
    <t>1.17.</t>
  </si>
  <si>
    <t>Субсидия бюджетам городских округов на комплектование книжных фондов муниципальных библиотек области</t>
  </si>
  <si>
    <t>1.18.</t>
  </si>
  <si>
    <t>2022год - Изготовление пямятника первостроителю около первого дома в первом квартале.</t>
  </si>
  <si>
    <t>1.19.</t>
  </si>
  <si>
    <t>Приобретение музыкального и сценического оборудования (2023 год)</t>
  </si>
  <si>
    <t>МБУК КЦ «Досуг»</t>
  </si>
  <si>
    <t>1.20.</t>
  </si>
  <si>
    <t>Мероприятия по увековечиванию памяти воинов Великой Отечественной войны (изготовление памятника - 2023 год)</t>
  </si>
  <si>
    <t>Итого по мероприятию</t>
  </si>
  <si>
    <t>II. Укрепление материальной базы</t>
  </si>
  <si>
    <t xml:space="preserve">Повышение доступности культурных благ. </t>
  </si>
  <si>
    <t>Создание условий для массового отдыха жителей и организация обустройства мест массового отдыха</t>
  </si>
  <si>
    <t>Ремонты учреждений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</si>
  <si>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населения, создание  благоприятных условий для занятия физической  культурой и спортом в городе, как основного  решения оздоров-ления и важнейших социальных задач  для всех слоев населения путём,создание условий для организации досуга и обеспечение жителей услугами организаций культуры</t>
  </si>
  <si>
    <t>2.1.</t>
  </si>
  <si>
    <t>Ремонт кровли в МБУК "ЦДМ".   Ремонт трубопровода холодного водоснабжения.   Устройство видеонаблюдения и оборудование системой контроля в МБУК КЦ "Досуг"</t>
  </si>
  <si>
    <t>МКУ  ГКМХ</t>
  </si>
  <si>
    <t>МБУК ЦДМ</t>
  </si>
  <si>
    <t>2.2.</t>
  </si>
  <si>
    <t>Ремонт помещений по исключению последствий протечек и дефектов, возникших в ходе эксплуатации в МБУК "МСДЦ".   Ремонт эл/освещения, замена  светильников. Ремонт крыльца (2023)</t>
  </si>
  <si>
    <t>МБУК МСДЦ</t>
  </si>
  <si>
    <t>2.3.</t>
  </si>
  <si>
    <t>Благоустройство территории вокруг "Кристалла", около стеллы ( с дроблением порубочных остатков).</t>
  </si>
  <si>
    <t>МКУ ГКМХ</t>
  </si>
  <si>
    <t>2.4.</t>
  </si>
  <si>
    <t>Ремонт аудиторий в МБОУ ДО "ДШИ".  Ремонт кровли ДШИ (частичный у 2-х ливневок).  Ремонт помещений цоколя и отмостки здания МБУ ДО ДШИ. 2023г- проведение электроосвещения, модернизация охранной сигнализации, ремонт кровли над пристройкой здания МБУ ДО "ДШИ"</t>
  </si>
  <si>
    <t>МБУ ДО "ДШИ"</t>
  </si>
  <si>
    <t>2.5.</t>
  </si>
  <si>
    <t>Ремонт ограждения танцевальной площадки. Ремонт покрытия сцены, окраска и ремонт пергол в МБУК "ПКиО". Установка урн на территории. Устройство системы видеонаблюдения в парке.</t>
  </si>
  <si>
    <t>МБУК ПКиО</t>
  </si>
  <si>
    <t>2.6.</t>
  </si>
  <si>
    <t>Обследование несущих конструкций МБОУДО ДЮСШ(с бассейном и спортзалом)и МБОУДО ДЮСШ "Кристалл"</t>
  </si>
  <si>
    <t>МБОУДОД  ДЮСШ</t>
  </si>
  <si>
    <t>2.7.</t>
  </si>
  <si>
    <t>Установка экрана уличного светодиодного 3840х8000мм.; установка видеонаблюдения на площади у МБУК " МСДЦ" 1 квартал.</t>
  </si>
  <si>
    <t>2.8.</t>
  </si>
  <si>
    <t>Благоустройство территории парка  (освещение парковой зоны 3 этап),техничекий план на вновь построенные сети уличного освещения в городском парке (для ввода в эксплатацию)</t>
  </si>
  <si>
    <t>2.9.</t>
  </si>
  <si>
    <t>Проектные работы по реконструкции нежилых помещений №33-46 в здании общежития №2(корпус 3-центральное крыло) по адресу до 6 9 квартал г. Радужный Владимирской области</t>
  </si>
  <si>
    <t>2.10.</t>
  </si>
  <si>
    <t>Оборудование места массового пребывания людей ограждением 2 класса защиты (2023 год -установка ограждения  вокруг учреждения МБУ ДО "ДШИ", замена 18 старых окон)</t>
  </si>
  <si>
    <t>2.11.</t>
  </si>
  <si>
    <t>Оснащение зданий по требованиям пожарной безопасности в бюджетных учреждениях</t>
  </si>
  <si>
    <t>МБОУДОД ДЮСШ</t>
  </si>
  <si>
    <t>ГКМХ</t>
  </si>
  <si>
    <t>2.12.</t>
  </si>
  <si>
    <t>Установка кондиционеров в киноаппаратной и зрительном зале в МБУК "ЦДМ"</t>
  </si>
  <si>
    <t>2.13.</t>
  </si>
  <si>
    <t>Ремонт в учреждении МБУК "ЦДМ" ( в киноаппаратной и туалетов, ремонт входной группы - 2023г)</t>
  </si>
  <si>
    <t>2.14.</t>
  </si>
  <si>
    <t>Приобретение основных средств (баяна для хора, кондиционеры)</t>
  </si>
  <si>
    <t>МБУК К/Ц Досуг</t>
  </si>
  <si>
    <t>2.15.</t>
  </si>
  <si>
    <t>Текуший ремонт пола зрительного зала и сцены МБУК ЦДМ.</t>
  </si>
  <si>
    <t>2.16.</t>
  </si>
  <si>
    <t>Замена линолиума в здании МБУДО ДШИ, текущий ремонт ступеней и тамбура главного входа в МБУДО ДШИ.</t>
  </si>
  <si>
    <t>2.17.</t>
  </si>
  <si>
    <t>Текущий ремонт душевой кабинки и тренажерного зала в Кристале. Текущий ремонт лыжной базы.</t>
  </si>
  <si>
    <t>МБОУДО ДЮСШ</t>
  </si>
  <si>
    <t>2.18.</t>
  </si>
  <si>
    <t>Приобретение основных средств (стеллажей) в МБУК "Библиотека"</t>
  </si>
  <si>
    <t>МБУК  «Общедоступная библиотека»</t>
  </si>
  <si>
    <t>2.19.</t>
  </si>
  <si>
    <t>Замена входных и внутрених дверей, ремонт оконных рам в здании МБУК К/Ц Досуг</t>
  </si>
  <si>
    <t>2.20.</t>
  </si>
  <si>
    <t>Приобретение подсветки для строений кинозала. Изготовление (приобретение) новогодних уличных украшений.</t>
  </si>
  <si>
    <t>2.21.</t>
  </si>
  <si>
    <t>Благоустройство спортивных площадок, расположенных за с/к "Кристалл" с заменой ограждения теннисных кортов</t>
  </si>
  <si>
    <t>МКУ "ГКМХ"</t>
  </si>
  <si>
    <t>2.22.</t>
  </si>
  <si>
    <t>Текущий ремонт системы отопления в МБУДО "ДШИ"</t>
  </si>
  <si>
    <t>2.23.</t>
  </si>
  <si>
    <t>Переоборудование санузлов для маломобильной категории граждан в МБУК "МСДЦ"</t>
  </si>
  <si>
    <t>2.24.</t>
  </si>
  <si>
    <t>Разработка проектной документации на ремонт фасада МБУК "Досуг"</t>
  </si>
  <si>
    <t>2.25.</t>
  </si>
  <si>
    <t>Текущий ремонт генератора МБУК ЦДМ</t>
  </si>
  <si>
    <t>2.26.</t>
  </si>
  <si>
    <t>Разработка проектной документации на проведение ремонта фасада с/к "Кристалл"   ( в соотвествии с проведенным обследованием) и проведение ремонтных работ(замена бетонных архитектурных элементов)</t>
  </si>
  <si>
    <t>МБОУДО "ДЮСШ"</t>
  </si>
  <si>
    <t>2.27.</t>
  </si>
  <si>
    <t>Модернизация аттракционнов (замена запчастей и установка забора; в 2023г- текущий ремонт асфальтового покрытия хоккейной коробки в 3 квартале)</t>
  </si>
  <si>
    <t>2.28.</t>
  </si>
  <si>
    <t>Ремонт кровли в здании  МБУК КЦ "Досуг"</t>
  </si>
  <si>
    <t>МБУК Досуг</t>
  </si>
  <si>
    <t>2.29.</t>
  </si>
  <si>
    <t>Ремонт помещения "Зеро" (замена пластиковых стеновых панелей на путях эвакуации на негорючие материалы)</t>
  </si>
  <si>
    <t>2.30.</t>
  </si>
  <si>
    <t>Замена оконных блоков в здании  МБУДО "ДШИ"</t>
  </si>
  <si>
    <t>2.31.</t>
  </si>
  <si>
    <t xml:space="preserve">Устройство навеса в аппаратной, замена дверных блоков  и текущий ремонт коридора в клубе  "Зеро", </t>
  </si>
  <si>
    <t>2.32.</t>
  </si>
  <si>
    <t>Изготовление скульптурного бюста, посвященного Косьминову И.С.</t>
  </si>
  <si>
    <t>МБУК "ПКиО"</t>
  </si>
  <si>
    <t>2.33.</t>
  </si>
  <si>
    <t>Эксплуатация светодиодного экрана  у здания МБУК "МСДЦ"</t>
  </si>
  <si>
    <t>2.34.</t>
  </si>
  <si>
    <t>Приобретение основных средств (приобретение звуковой и видео аппаратуры)</t>
  </si>
  <si>
    <t>МБУК "Досуг"</t>
  </si>
  <si>
    <t>2.35.</t>
  </si>
  <si>
    <t>Приобретение материальных запасов: 2019г-резиновые уплотнители для теплообменников в здании МБУК "МСДЦ"; 2023г -приобретение видеокамеры и видеорегистратора.</t>
  </si>
  <si>
    <t>2.36.</t>
  </si>
  <si>
    <t>Приобретение основных средств (светодиодные прожекторы) для МБУК "ПКиО".</t>
  </si>
  <si>
    <t>2.37.</t>
  </si>
  <si>
    <t xml:space="preserve">Обследование подвесного потолка в СК «Кристалл», обследование раздевалок в здании ФОК, частичный ремонт плитки в бассейне  в учреждении МБОУ ДО "ДЮСШ"
</t>
  </si>
  <si>
    <t>2.38.</t>
  </si>
  <si>
    <t>Приобретение металлических средств разделения потока зрителей в здании МБОУ ДО "ДЮСШ"</t>
  </si>
  <si>
    <t>2.39.</t>
  </si>
  <si>
    <t>Дополнительные работы по мини-футбольному полю (установка бортового каменя) в учреждении МБОУ ДО "ДЮСШ"</t>
  </si>
  <si>
    <t>2.40.</t>
  </si>
  <si>
    <t xml:space="preserve">Установка системы пожарной сигнализации в клубе «Зеро» </t>
  </si>
  <si>
    <t>2.41.</t>
  </si>
  <si>
    <t>Приобретение основных средств (светодиодные светильникии и кондиционер) в учреждении МБУК "Библиотека"</t>
  </si>
  <si>
    <t>МБУК "Библиотека"</t>
  </si>
  <si>
    <t>2.42.</t>
  </si>
  <si>
    <t>Текущий ремонт кровли в учреждении  МБОУ ДО "ДЮСШ" (в зданиях греко-римской борьбе и бассейне)</t>
  </si>
  <si>
    <t>2.43.</t>
  </si>
  <si>
    <t xml:space="preserve">Текущий ремонт летней эстрады в 1 квартале  около первой школы </t>
  </si>
  <si>
    <t>2.44.</t>
  </si>
  <si>
    <t>На текущий ремонт парапета (ограждения) на крыше МБУК Досуг</t>
  </si>
  <si>
    <t>2.45.</t>
  </si>
  <si>
    <t>Текущий ремонт откосов и стен в помещении клуба "Зеро"</t>
  </si>
  <si>
    <t>2.46.</t>
  </si>
  <si>
    <t>Текущий ремонт помещений в здании МБУДО ДШИ, замена ограждения</t>
  </si>
  <si>
    <t xml:space="preserve">Подключение наружного освещения для минифутбола к щитовой "Кристалла" </t>
  </si>
  <si>
    <t>Ремонт отопления в игровом зале ФОК в учреждения МБОУДО "ДЮСШ"</t>
  </si>
  <si>
    <t>Замена оконных блоков в в кабинетах в здании МБУДО "ДШИ"</t>
  </si>
  <si>
    <t>Ремонт санузла с учетом доступности для маломобильных граждан, устройство поста вахтера  в учреждении МБУК "ЦДМ"</t>
  </si>
  <si>
    <t>Приобретение основных средств для учреждения (для противожарной обработки сценического занавеса в зрительном зале и приобретение светового оборудование)</t>
  </si>
  <si>
    <t>2.47.</t>
  </si>
  <si>
    <t>МБУК КЦ "Досуг"</t>
  </si>
  <si>
    <t>2.48.</t>
  </si>
  <si>
    <t>Текущие ремонты в учреждении МБУК КЦ "Досуг" ( 2020-ремонт потолка в артистической, методическом кабинете, хоровом; ремонт осветительной сети сцены) (2021-  ремонт потолка коридора танцевального класса 2 этажа, Замена дверного блока).</t>
  </si>
  <si>
    <t>2.49.</t>
  </si>
  <si>
    <t xml:space="preserve">Противопожарная пропитка деревянных конструкций сцены 70 м2 в учреждении МБУК "ЦДМ" </t>
  </si>
  <si>
    <t>2.50.</t>
  </si>
  <si>
    <t>Приобретение основных средств для учреждения МБУК "Библиотеки" (жалюзи, кулер, стулья-20шт, противопожарное полотно )</t>
  </si>
  <si>
    <t>2.51.</t>
  </si>
  <si>
    <t>Текущие ремонты в учреждении МБОУДО "ДЮСШ" (2020-ПИР на проведения ремонта фасада с/к Кристалла,замена пожарных шкафов на противопожарные в зале ФОК, ремонт отопления в игровом зале ФОК и т.д )(2022-ремонт фасада здания)</t>
  </si>
  <si>
    <t>2.52.</t>
  </si>
  <si>
    <t>Приобретение основных средств для учреждения МБОУДО "ДЮСШ" (насос для бассейна. станции дозирования, 2 теплообменика для бассейна, робота-пылесоса для бассейна, бактерицидный облучатель, рециркуляторы.)</t>
  </si>
  <si>
    <t>2.53.</t>
  </si>
  <si>
    <t>Текущие ремонты в учреждении МБУДО "ДШИ" (устройство оконного проёма на посту вахты, ремонт ступеней крыльца главного входа,ремонт тамбура главного входа, замена линолеума в коридоре 2 этажа и в концертном зале)</t>
  </si>
  <si>
    <t>МБУДО "ДШИ"</t>
  </si>
  <si>
    <t>2.54.</t>
  </si>
  <si>
    <t>Приобретение основных средств для учреждения МБУДО "ДШИ" (музыкальных инструментов, мебели, материалы и оборудование для художественного отделения. рециркуляторы закрытого типа, бесконтактные термометры)</t>
  </si>
  <si>
    <t>2.55.</t>
  </si>
  <si>
    <t>На текущий ремонт в здании учреждения МБУК "ЦДМ"(перенос места поста охраны) (2021- текущий ремонт кровли).</t>
  </si>
  <si>
    <t>2.56.</t>
  </si>
  <si>
    <t>Приобретение основных средств для учреждения МБУК "МСДЦ" (рециркуляторы воздуха с УФ-лампой, средства индивидуальной защиты)( в 2021 г. - приобретение: лавка парковая без спинки - 20 шт)</t>
  </si>
  <si>
    <t>2.57.</t>
  </si>
  <si>
    <t>Приобретение основных средств для учреждения МБУК "ЦДМ"(рециркуляторы и бесконтактные термометры)</t>
  </si>
  <si>
    <t>2.58.</t>
  </si>
  <si>
    <t>Уборка сухостоя и упавших деревьев площадью 1га. В МБУК "ПКиО"</t>
  </si>
  <si>
    <t>2.59.</t>
  </si>
  <si>
    <t>Текущий ремонт здания МБУК "ЦДМ" (покраска фасада здания)</t>
  </si>
  <si>
    <t>2.60.</t>
  </si>
  <si>
    <t xml:space="preserve">  Федеральный проект "Культурная среда ", национальный проект " Культура "(субсидия на государственную поддержку отрасли культуры на приобретение музыкальных инструментов, оборудования и материалов для детских школ искусств).</t>
  </si>
  <si>
    <t>2.61.</t>
  </si>
  <si>
    <t>На прибретение основных средств и материальных запасов для учреждения МБУК ПКиО (приобретение средств для проведения предварительных выборов)</t>
  </si>
  <si>
    <t>2.62.</t>
  </si>
  <si>
    <t>Текущие ремонты в учреждении МБУК ПКиО (ремонт скейт-площадки), в 2022- ремонт хоккейной коробки в 1 и 3 квартале (асфальт)</t>
  </si>
  <si>
    <t>2.63.</t>
  </si>
  <si>
    <t xml:space="preserve"> Ремонты учреждение МКУ ГКМХ 2021-ремонт фасада здания МБОУДО "ДЮСШ" , ремонт катка в 1 квартале между школами</t>
  </si>
  <si>
    <t>III. Выполнение управленческих функций, обеспечение стабильной работы подведомственных учреждений:</t>
  </si>
  <si>
    <t>3.1.</t>
  </si>
  <si>
    <t>МКУ «Комитет по культуре и спорту» ЗАТО г.Радужный:</t>
  </si>
  <si>
    <t>МКУ ККиС</t>
  </si>
  <si>
    <t>IV. Выполнение муниципальных заданий:</t>
  </si>
  <si>
    <t xml:space="preserve">Цели и задачи </t>
  </si>
  <si>
    <t>Координация деятельности учреждений культуры. Организация досуга населения, библиотечного обслуживания. Предоставление дополнительного образования в сфере культуры и спорта.</t>
  </si>
  <si>
    <t>4.1.</t>
  </si>
  <si>
    <t xml:space="preserve"> Выполнение муниципального задания в МБУДО ДШИ</t>
  </si>
  <si>
    <t>субсидии на финансовое обеспечение выполнения муниципального задания на оказание муниципальных услуг</t>
  </si>
  <si>
    <t>4.2.</t>
  </si>
  <si>
    <t>Выполнение муниципального задания в МБОУДО ДЮСШ</t>
  </si>
  <si>
    <t>4.3.</t>
  </si>
  <si>
    <t>Выполнение муниципального задания в МБУК К/Ц Досуг</t>
  </si>
  <si>
    <t>4.4.</t>
  </si>
  <si>
    <t>Выполнение муниципального задания в МБУК ЦДМ</t>
  </si>
  <si>
    <t>4.5.</t>
  </si>
  <si>
    <t>Выполнение муниципального задания в МБУК ПКиО</t>
  </si>
  <si>
    <t>4.6.</t>
  </si>
  <si>
    <t>Выполнение муниципального задания в МБУК  «Общедоступная библиотека»</t>
  </si>
  <si>
    <t>4.7.</t>
  </si>
  <si>
    <t>Выполнение муниципального задания в МБУК МСДЦ</t>
  </si>
  <si>
    <t>4.8.</t>
  </si>
  <si>
    <t>Выполнение мунципальных заданиий на 1 квартал 2018 года</t>
  </si>
  <si>
    <t>V. Социальная поддержка населения</t>
  </si>
  <si>
    <t>Осуществление системы мер социальной поддержки работников культуры.</t>
  </si>
  <si>
    <t>5.1.</t>
  </si>
  <si>
    <t>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</si>
  <si>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ВСЕГО ПО ПОДПРОГРАММЕ</t>
  </si>
  <si>
    <t>2017-2025</t>
  </si>
  <si>
    <t xml:space="preserve">Приложение к муниципальной подпрограмме </t>
  </si>
  <si>
    <t>«Развитие физической культуры и спорта в ЗАТО г.Радужный»</t>
  </si>
  <si>
    <t>Перечень мероприятий муниципальной подпрограммы «Развитие физической культуры и спорта на территории   ЗАТО г.Радужный Владимирской области»</t>
  </si>
  <si>
    <t>Объем финансирования (тыс. руб.)</t>
  </si>
  <si>
    <t>В том числе:</t>
  </si>
  <si>
    <t>исполнители, ответственные за реализацию подпрограммы</t>
  </si>
  <si>
    <t>Собственные  доходы:</t>
  </si>
  <si>
    <t xml:space="preserve">                           I. Массовый  спорт </t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</si>
  <si>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</si>
  <si>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</si>
  <si>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Организация и проведение круглогодичной спартакиады школьников</t>
  </si>
  <si>
    <t>Увеличение количества занимающихся в спортивных секциях, укрепление здоровья учащихся</t>
  </si>
  <si>
    <t xml:space="preserve">МКУ «Комитет 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</si>
  <si>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</si>
  <si>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</si>
  <si>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 массовых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</si>
  <si>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</si>
  <si>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</si>
  <si>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</si>
  <si>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</si>
  <si>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</si>
  <si>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Приобритение спортивного инвентаря для сборных команд ЗАТО г.Радужный</t>
  </si>
  <si>
    <r>
      <rPr>
        <b/>
        <sz val="11"/>
        <color indexed="8"/>
        <rFont val="Times New Roman"/>
        <family val="1"/>
      </rPr>
      <t>итого по мероприятию</t>
    </r>
    <r>
      <rPr>
        <b/>
        <sz val="10"/>
        <color indexed="8"/>
        <rFont val="Times New Roman"/>
        <family val="1"/>
      </rPr>
      <t xml:space="preserve"> №1</t>
    </r>
  </si>
  <si>
    <t>2017-2025г.г.</t>
  </si>
  <si>
    <t>Цели и задачи</t>
  </si>
  <si>
    <t>Создание условий для развития физичекской культуры и спорта. Учучшение качества занятий проводимых уроков физкультуры среди школьнокив</t>
  </si>
  <si>
    <t xml:space="preserve">Создание условий для массовых занятий физической культурой и спортом: 2019г- Строительство обьекта "многофункциональной игровой площадки площадью 800 м2 с детским спортивно-оздоровительным комплексом; 2023г - приобретение и установка оборудования сппортивного уличного для открытых  спортивных площадок на территории ЗАТО г. Радужный Владимирской области; </t>
  </si>
  <si>
    <t xml:space="preserve">создание условий для массовых занятий физической культурой и спортом </t>
  </si>
  <si>
    <t>Проектные работы (типовой проект "многофункциональная игровая площадка S800 м2 с детским спортивно-оздоровительным комплексрм")</t>
  </si>
  <si>
    <t>На приобритение спортивного оборудования и инвентаря для приведения МБОУ ДО "ДЮСШ" в нормативное состояние.(в рамках регионального проекта "спорт-норма жизни", Национального проекта " Демография")</t>
  </si>
  <si>
    <t>Реализация  регионального проекта «Спорт-норма жизни», федерального проекта  «Демография»</t>
  </si>
  <si>
    <t>На реализацию программ спортивной подготовки в соответствии  требованиями федеральных стандартов (в рамках регионального проекта "спорт-норма жизни", Национального проекта " Демография")</t>
  </si>
  <si>
    <t>На приобретение спортивного оборудования и инвентаря для приведения муниципальных учреждений спортивной подготовки в нормотивное состояни (в рамках регионального проекта "спорт-норма жизни", Национального проекта " Демография")</t>
  </si>
  <si>
    <t>Текущие ремонты в учреждение МБОУДО "ДЮСШ" (2022-замена дверных блоков в бассейне,ремонт помещений с/к "Кристалл",дооборудование адресными дымовыми пожарными извещателями с/к "Кристалл",дооборудование системы речевого оповещения с/к "Кристалл", ремонт кровли) (2023год - ремонт здания, ремонт системы видеонаблюдения)</t>
  </si>
  <si>
    <t xml:space="preserve"> Текущие ремонты в учреждение МБОУДО "ДЮСШ" (2022г.-ремонт фасада здания (кровли);  2023г- разработка проектно-сметной документации на капитальный ремонт крыши здания бассейна</t>
  </si>
  <si>
    <t>итого по мероприятию №2</t>
  </si>
  <si>
    <t>III. Выполнение муниципальных заданий:</t>
  </si>
  <si>
    <t>Координация деятельности учреждений спорта.  Предоставление дополнительного образования в сфере культуры и спорта.</t>
  </si>
  <si>
    <t xml:space="preserve"> МБОУДО ДЮСШ</t>
  </si>
  <si>
    <t>3.2.</t>
  </si>
  <si>
    <t>На содержание обьектов спортивной инфраструктуры муниципальной собственности для занятий физической культуры и спорта</t>
  </si>
  <si>
    <t>МКУ "Комитет по культуре и спорту",  МБОУДО ДЮСШ</t>
  </si>
  <si>
    <t>итого по мероприятию №3</t>
  </si>
  <si>
    <t>ВСЕГО  ПО ПОДПРОГРАММЕ</t>
  </si>
  <si>
    <t>Приложение к муниципальной подпрограмме</t>
  </si>
  <si>
    <t xml:space="preserve">«Повышение правовой культуры населения </t>
  </si>
  <si>
    <t>ЗАТО г. Радужный Владимирской области»</t>
  </si>
  <si>
    <t>Перечень мероприятий муниципальной подпрограммы "Повышение правовой культуры населения на территории   ЗАТО г.Радужный Владимирской области"</t>
  </si>
  <si>
    <t>Наименование мероприятия</t>
  </si>
  <si>
    <t>Объем финансирования (тыс.руб)</t>
  </si>
  <si>
    <t xml:space="preserve">В том числе: </t>
  </si>
  <si>
    <t>Исполнители - ответственные за реализацию мероприятия</t>
  </si>
  <si>
    <t>Ожидаемые результаты (количественные и качественные)</t>
  </si>
  <si>
    <t>Субсидии, иные межбюджетные трансверты</t>
  </si>
  <si>
    <t xml:space="preserve">Всего </t>
  </si>
  <si>
    <t>Из федерального бюджете</t>
  </si>
  <si>
    <t>из  облостного бюджета</t>
  </si>
  <si>
    <t>I. Организационно-методическое обеспечение</t>
  </si>
  <si>
    <r>
      <rPr>
        <u val="single"/>
        <sz val="12"/>
        <color indexed="8"/>
        <rFont val="Times New Roman"/>
        <family val="1"/>
      </rP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</si>
  <si>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Пополнение библиотек общеобразовательных организаций, методического кабинета управления образования литературой по правовой тематике</t>
  </si>
  <si>
    <t>- управление образования</t>
  </si>
  <si>
    <t>Расширение базы методического обеспечения для организации работы по правовому просвещению</t>
  </si>
  <si>
    <t>II. Органы местного самоуправления в системе правового просвещения</t>
  </si>
  <si>
    <t>2.</t>
  </si>
  <si>
    <t>Систематическое пополнение информационной базы "Информационно-правового центра", находящегося в МБУК "Общедоступная библиотека"</t>
  </si>
  <si>
    <t>МБУК "Общедоступная библиотека"</t>
  </si>
  <si>
    <t>Развитие и модернизация центра правовой информации на базе МБУК "Общедоступная библиотека"</t>
  </si>
  <si>
    <t>III. Меры улучшения работы среди населения по правовому просвещению и воспитанию</t>
  </si>
  <si>
    <t>3.</t>
  </si>
  <si>
    <t>Совершенствование системы правового воспитания обучающихся. Проведение ежегодных городских мероприятий:</t>
  </si>
  <si>
    <t>Повышение интереса обучающихся к изучению правовой системы государства.   Увеличение численности обучающихся, участников мероприятий правовой направленности.</t>
  </si>
  <si>
    <t>Конкурс "Гражданином быть обязан", посвящённый Конституции РФ и Международному Дню Прав человека</t>
  </si>
  <si>
    <t>Конкурс на знания истории государственной символики "Символы России"</t>
  </si>
  <si>
    <t>3.3.</t>
  </si>
  <si>
    <t>Городская олимпиада школьников "Основы правовых знаний"</t>
  </si>
  <si>
    <t>3.4.</t>
  </si>
  <si>
    <t>Организация и проведение экскурсионно- 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граждан РФ</t>
  </si>
  <si>
    <t>3.5.</t>
  </si>
  <si>
    <t>Включение в основные общеобразовательные программы дошкольного, начального, основного и среднего общего образования тематики, способствующей повышению правовой грамотности обучающихся</t>
  </si>
  <si>
    <t>3.6.</t>
  </si>
  <si>
    <t>Проведение цикла занятий с участием сотрудников ГИБДД по изучению правил безопасности дорожного движения, ответственности пешеходов и водителей за их нарушение</t>
  </si>
  <si>
    <t>3.7.</t>
  </si>
  <si>
    <t>Проведение в образовательных организациях мероприятий, посвящённых международному Дню толерантности</t>
  </si>
  <si>
    <t>3.8.</t>
  </si>
  <si>
    <t>Проведение в учреждениях культуры и образовательных организациях лекций и бесед по правовому просвещению</t>
  </si>
  <si>
    <t>ИТОГО:</t>
  </si>
  <si>
    <t>"Реализация государственной национальной политики на территории ЗАТО г. Радужный Владимирской области"</t>
  </si>
  <si>
    <t>Перечень мероприятий муниципальной подпрограммы "Реализация государственной национальной политики на территории ЗАТО г. Радужный Владимирской области"</t>
  </si>
  <si>
    <t>Объем финанси-рования (тыс. руб.)</t>
  </si>
  <si>
    <t>Исполнители, ответственные за реализацию мероприятий</t>
  </si>
  <si>
    <t>Ожидаемые результаты от реализации  мероприятий</t>
  </si>
  <si>
    <t>собственные доходы</t>
  </si>
  <si>
    <t>I. Основное мероприятие "Реализация стратегии государственной национальной политики Российской Федерации в муниципальном образовании ЗАТО г. Радужный Владимирской области"</t>
  </si>
  <si>
    <t xml:space="preserve">Цели: 
    - Количество мероприятий и количество их участников, направленных на гармонизацию межэтнических отношений;
    -Доля муниципальных служащих, прошедших курсы повышения квалификации по вопро-сам национальных отношений и миграционной политике¸ в общем количестве муниципаль-ных служащих, процентов;
   -Количество публикаций в СМИ муниципального образования, направленных на формирование этнокультурной компетентности граждан и пропаганду ценностей добрососедства и толерантности.
</t>
  </si>
  <si>
    <t xml:space="preserve">Задачи:
- Развитие системы повышения этнокультурной компетентности населения и муниципальных служащих;
- Выполнение мероприятий и инициатив, направленных на этнокультурное развитие народов;
- Недопущение фактов незаконной миграции, обеспеченность рынка труда рабочей силой;
- Повышение уровня межведомственного взаимодействия по профилактике терроризма и экстремизма;
- Усиление антитеррористической защищенности объектов социальной сферы;
- Привлечение граждан, негосударственных структур, в том числе СМИ и общественных объединений, для обеспечения максимальнойэффективной деятельности по профилактике проявлений терроризма и экстремизма;
- Проведение воспитательной, пропагандистской работы с населением ЗАТО г. Радужный; 
-Недопущения межнациональных и межконфессиональных конфликтов. 
</t>
  </si>
  <si>
    <t>Совершенствование муниципального управления в сфере государственной национальной политики Российской Федерации.</t>
  </si>
  <si>
    <t>МКУ "Комитет по культуре и спорту", МБУК ПКиО</t>
  </si>
  <si>
    <t xml:space="preserve">Реализация Подпрограммы позволит:
1.обеспечение позитивного социального самочувствия граждан через сохранение и развитие позитивного опыта межэтнического взаимодействия среди населения муниципального образования;
2.сохранение стабильной межэтнической ситуации в муниципальном образовании;
3.развитие информационного пространства в муниципальном образовании для пропаганды и распространения идей толерантности, гражданской солидарности, уважения к другим культурам, в том числе через средства массовой информации;
4.повышение уровня этнокультурной компетентности как в молодежной среде, так и среди взрослого населения, в частности муниципальных служащих.
</t>
  </si>
  <si>
    <t>Укрепление единства и духовной общности многонационального народа Российской Федерации (российской нации)</t>
  </si>
  <si>
    <t>Обеспечение межнационального мира и согласия, гармонизации межнациональных (межэтнических) отношений</t>
  </si>
  <si>
    <t>Обеспечение социально-экономических условий для эффективной реализации государственной национальной политики Российской Федерации</t>
  </si>
  <si>
    <t>Поддержка русского языка как государственного языка Российской Федерации и языков народов России</t>
  </si>
  <si>
    <t>Совершенствование взаимодействия органов государственной власти и местного самоуправления с институтами гражданского общества</t>
  </si>
  <si>
    <t>Итого по меропрриятию №1</t>
  </si>
  <si>
    <t>ИТОГО ПО ПОДПРОГРАММЕ:</t>
  </si>
  <si>
    <t>2020-2025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</si>
</sst>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0000"/>
    <numFmt numFmtId="166" formatCode="0.0"/>
    <numFmt numFmtId="167" formatCode="0.00"/>
    <numFmt numFmtId="168" formatCode="0"/>
    <numFmt numFmtId="169" formatCode="0.0000"/>
    <numFmt numFmtId="170" formatCode="@"/>
    <numFmt numFmtId="171" formatCode="0.00000"/>
    <numFmt numFmtId="172" formatCode="#,##0.000000"/>
    <numFmt numFmtId="173" formatCode="dd/mmm"/>
    <numFmt numFmtId="174" formatCode="0.000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0"/>
      <color indexed="40"/>
      <name val="Times New Roman"/>
      <family val="1"/>
    </font>
    <font>
      <sz val="10"/>
      <color indexed="10"/>
      <name val="Calibri"/>
      <family val="2"/>
    </font>
    <font>
      <b/>
      <sz val="10"/>
      <color indexed="62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61">
    <xf numFmtId="164" fontId="0" fillId="0" borderId="0" xfId="0" applyAlignment="1">
      <alignment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 horizontal="right" wrapText="1"/>
    </xf>
    <xf numFmtId="164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top" wrapText="1"/>
    </xf>
    <xf numFmtId="164" fontId="5" fillId="0" borderId="3" xfId="0" applyFont="1" applyBorder="1" applyAlignment="1">
      <alignment horizontal="center" vertical="top" wrapText="1"/>
    </xf>
    <xf numFmtId="165" fontId="5" fillId="0" borderId="3" xfId="0" applyNumberFormat="1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vertical="top" wrapText="1"/>
    </xf>
    <xf numFmtId="164" fontId="0" fillId="0" borderId="3" xfId="0" applyBorder="1" applyAlignment="1">
      <alignment vertical="top" wrapText="1"/>
    </xf>
    <xf numFmtId="164" fontId="5" fillId="0" borderId="5" xfId="0" applyFont="1" applyBorder="1" applyAlignment="1">
      <alignment vertical="top" wrapText="1"/>
    </xf>
    <xf numFmtId="164" fontId="5" fillId="0" borderId="6" xfId="0" applyFont="1" applyBorder="1" applyAlignment="1">
      <alignment horizontal="center" vertical="top" wrapText="1"/>
    </xf>
    <xf numFmtId="164" fontId="5" fillId="0" borderId="7" xfId="0" applyFont="1" applyBorder="1" applyAlignment="1">
      <alignment horizontal="center" vertical="top" wrapText="1"/>
    </xf>
    <xf numFmtId="164" fontId="5" fillId="0" borderId="5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center" wrapText="1"/>
    </xf>
    <xf numFmtId="164" fontId="6" fillId="0" borderId="6" xfId="0" applyFont="1" applyFill="1" applyBorder="1" applyAlignment="1">
      <alignment horizontal="center" vertical="top" wrapText="1"/>
    </xf>
    <xf numFmtId="165" fontId="6" fillId="0" borderId="6" xfId="0" applyNumberFormat="1" applyFont="1" applyFill="1" applyBorder="1" applyAlignment="1">
      <alignment horizontal="center" vertical="top" wrapText="1"/>
    </xf>
    <xf numFmtId="164" fontId="6" fillId="2" borderId="6" xfId="0" applyFont="1" applyFill="1" applyBorder="1" applyAlignment="1">
      <alignment horizontal="center" vertical="top" wrapText="1"/>
    </xf>
    <xf numFmtId="165" fontId="6" fillId="2" borderId="6" xfId="0" applyNumberFormat="1" applyFont="1" applyFill="1" applyBorder="1" applyAlignment="1">
      <alignment horizontal="center" vertical="top" wrapText="1"/>
    </xf>
    <xf numFmtId="164" fontId="7" fillId="3" borderId="6" xfId="0" applyFont="1" applyFill="1" applyBorder="1" applyAlignment="1">
      <alignment vertical="top" wrapText="1"/>
    </xf>
    <xf numFmtId="164" fontId="7" fillId="3" borderId="6" xfId="0" applyFont="1" applyFill="1" applyBorder="1" applyAlignment="1">
      <alignment horizontal="center" vertical="top" wrapText="1"/>
    </xf>
    <xf numFmtId="165" fontId="7" fillId="3" borderId="6" xfId="0" applyNumberFormat="1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vertical="top" wrapText="1"/>
    </xf>
    <xf numFmtId="164" fontId="8" fillId="0" borderId="6" xfId="0" applyFont="1" applyFill="1" applyBorder="1" applyAlignment="1">
      <alignment horizontal="center" vertical="top" wrapText="1"/>
    </xf>
    <xf numFmtId="165" fontId="8" fillId="0" borderId="6" xfId="0" applyNumberFormat="1" applyFont="1" applyFill="1" applyBorder="1" applyAlignment="1">
      <alignment horizontal="center" vertical="top" wrapText="1"/>
    </xf>
    <xf numFmtId="165" fontId="9" fillId="0" borderId="6" xfId="0" applyNumberFormat="1" applyFont="1" applyFill="1" applyBorder="1" applyAlignment="1">
      <alignment horizontal="center" vertical="top" wrapText="1"/>
    </xf>
    <xf numFmtId="165" fontId="7" fillId="2" borderId="6" xfId="0" applyNumberFormat="1" applyFont="1" applyFill="1" applyBorder="1" applyAlignment="1">
      <alignment horizontal="center" vertical="top" wrapText="1"/>
    </xf>
    <xf numFmtId="165" fontId="6" fillId="0" borderId="8" xfId="0" applyNumberFormat="1" applyFont="1" applyBorder="1" applyAlignment="1">
      <alignment horizontal="center" vertical="top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8" xfId="0" applyFont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165" fontId="7" fillId="0" borderId="10" xfId="0" applyNumberFormat="1" applyFont="1" applyFill="1" applyBorder="1" applyAlignment="1">
      <alignment horizontal="center" vertical="top" wrapText="1"/>
    </xf>
    <xf numFmtId="164" fontId="6" fillId="0" borderId="3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center" vertical="top" wrapText="1"/>
    </xf>
    <xf numFmtId="165" fontId="7" fillId="0" borderId="3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5" fontId="6" fillId="2" borderId="3" xfId="0" applyNumberFormat="1" applyFont="1" applyFill="1" applyBorder="1" applyAlignment="1">
      <alignment horizontal="center" vertical="top" wrapText="1"/>
    </xf>
    <xf numFmtId="165" fontId="7" fillId="2" borderId="3" xfId="0" applyNumberFormat="1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vertical="top" wrapText="1"/>
    </xf>
    <xf numFmtId="165" fontId="7" fillId="3" borderId="3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/>
    </xf>
    <xf numFmtId="164" fontId="6" fillId="0" borderId="11" xfId="0" applyFont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/>
    </xf>
    <xf numFmtId="164" fontId="6" fillId="2" borderId="3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/>
    </xf>
    <xf numFmtId="165" fontId="7" fillId="3" borderId="12" xfId="0" applyNumberFormat="1" applyFont="1" applyFill="1" applyBorder="1" applyAlignment="1">
      <alignment vertical="center" wrapText="1"/>
    </xf>
    <xf numFmtId="165" fontId="7" fillId="3" borderId="3" xfId="0" applyNumberFormat="1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/>
    </xf>
    <xf numFmtId="164" fontId="0" fillId="0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Fill="1" applyBorder="1" applyAlignment="1">
      <alignment horizontal="right"/>
    </xf>
    <xf numFmtId="164" fontId="0" fillId="0" borderId="0" xfId="0" applyAlignment="1">
      <alignment/>
    </xf>
    <xf numFmtId="164" fontId="3" fillId="0" borderId="0" xfId="0" applyFont="1" applyFill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4" fontId="10" fillId="0" borderId="0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164" fontId="5" fillId="0" borderId="3" xfId="0" applyFont="1" applyFill="1" applyBorder="1" applyAlignment="1">
      <alignment horizontal="left" vertical="top" wrapText="1"/>
    </xf>
    <xf numFmtId="167" fontId="5" fillId="0" borderId="3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168" fontId="5" fillId="0" borderId="3" xfId="0" applyNumberFormat="1" applyFont="1" applyFill="1" applyBorder="1" applyAlignment="1">
      <alignment horizontal="center" vertical="top" wrapText="1"/>
    </xf>
    <xf numFmtId="164" fontId="4" fillId="0" borderId="3" xfId="0" applyFont="1" applyFill="1" applyBorder="1" applyAlignment="1">
      <alignment horizontal="center" wrapText="1"/>
    </xf>
    <xf numFmtId="164" fontId="5" fillId="0" borderId="3" xfId="0" applyFont="1" applyFill="1" applyBorder="1" applyAlignment="1">
      <alignment vertical="top" wrapText="1"/>
    </xf>
    <xf numFmtId="164" fontId="3" fillId="0" borderId="3" xfId="0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center" vertical="top" wrapText="1"/>
    </xf>
    <xf numFmtId="168" fontId="0" fillId="0" borderId="3" xfId="0" applyNumberFormat="1" applyFont="1" applyFill="1" applyBorder="1" applyAlignment="1">
      <alignment horizontal="center" vertical="top" wrapText="1"/>
    </xf>
    <xf numFmtId="165" fontId="0" fillId="0" borderId="3" xfId="0" applyNumberFormat="1" applyFont="1" applyFill="1" applyBorder="1" applyAlignment="1">
      <alignment vertical="top" wrapText="1"/>
    </xf>
    <xf numFmtId="168" fontId="11" fillId="0" borderId="3" xfId="0" applyNumberFormat="1" applyFont="1" applyFill="1" applyBorder="1" applyAlignment="1">
      <alignment horizontal="center" vertical="top" wrapText="1"/>
    </xf>
    <xf numFmtId="165" fontId="11" fillId="0" borderId="3" xfId="0" applyNumberFormat="1" applyFont="1" applyFill="1" applyBorder="1" applyAlignment="1">
      <alignment horizontal="center" vertical="top" wrapText="1"/>
    </xf>
    <xf numFmtId="165" fontId="12" fillId="0" borderId="3" xfId="0" applyNumberFormat="1" applyFont="1" applyFill="1" applyBorder="1" applyAlignment="1">
      <alignment vertical="top" wrapText="1"/>
    </xf>
    <xf numFmtId="168" fontId="5" fillId="0" borderId="3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vertical="top" wrapText="1"/>
    </xf>
    <xf numFmtId="168" fontId="5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vertical="center" wrapText="1"/>
    </xf>
    <xf numFmtId="165" fontId="13" fillId="0" borderId="3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left" vertical="top" wrapText="1"/>
    </xf>
    <xf numFmtId="165" fontId="14" fillId="0" borderId="3" xfId="0" applyNumberFormat="1" applyFont="1" applyFill="1" applyBorder="1" applyAlignment="1">
      <alignment vertical="top" wrapText="1"/>
    </xf>
    <xf numFmtId="165" fontId="5" fillId="0" borderId="13" xfId="0" applyNumberFormat="1" applyFont="1" applyFill="1" applyBorder="1" applyAlignment="1">
      <alignment horizontal="left" vertical="top" wrapText="1"/>
    </xf>
    <xf numFmtId="168" fontId="5" fillId="4" borderId="3" xfId="0" applyNumberFormat="1" applyFont="1" applyFill="1" applyBorder="1" applyAlignment="1">
      <alignment horizontal="center" vertical="top" wrapText="1"/>
    </xf>
    <xf numFmtId="165" fontId="5" fillId="4" borderId="3" xfId="0" applyNumberFormat="1" applyFont="1" applyFill="1" applyBorder="1" applyAlignment="1">
      <alignment horizontal="center" vertical="top" wrapText="1"/>
    </xf>
    <xf numFmtId="168" fontId="5" fillId="0" borderId="14" xfId="0" applyNumberFormat="1" applyFont="1" applyFill="1" applyBorder="1" applyAlignment="1">
      <alignment horizontal="center" vertical="top" wrapText="1"/>
    </xf>
    <xf numFmtId="168" fontId="5" fillId="4" borderId="14" xfId="0" applyNumberFormat="1" applyFont="1" applyFill="1" applyBorder="1" applyAlignment="1">
      <alignment horizontal="center" vertical="top" wrapText="1"/>
    </xf>
    <xf numFmtId="165" fontId="5" fillId="0" borderId="13" xfId="0" applyNumberFormat="1" applyFont="1" applyFill="1" applyBorder="1" applyAlignment="1">
      <alignment horizontal="center" vertical="top" wrapText="1"/>
    </xf>
    <xf numFmtId="165" fontId="5" fillId="0" borderId="15" xfId="0" applyNumberFormat="1" applyFont="1" applyFill="1" applyBorder="1" applyAlignment="1">
      <alignment vertical="top" wrapText="1"/>
    </xf>
    <xf numFmtId="165" fontId="5" fillId="0" borderId="14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center"/>
    </xf>
    <xf numFmtId="168" fontId="5" fillId="4" borderId="3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 wrapText="1"/>
    </xf>
    <xf numFmtId="165" fontId="5" fillId="4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vertical="center" wrapText="1"/>
    </xf>
    <xf numFmtId="165" fontId="5" fillId="0" borderId="11" xfId="0" applyNumberFormat="1" applyFont="1" applyFill="1" applyBorder="1" applyAlignment="1">
      <alignment horizontal="center" vertical="top" wrapText="1"/>
    </xf>
    <xf numFmtId="165" fontId="5" fillId="4" borderId="3" xfId="0" applyNumberFormat="1" applyFont="1" applyFill="1" applyBorder="1" applyAlignment="1">
      <alignment horizontal="center"/>
    </xf>
    <xf numFmtId="169" fontId="5" fillId="0" borderId="3" xfId="0" applyNumberFormat="1" applyFont="1" applyFill="1" applyBorder="1" applyAlignment="1">
      <alignment horizontal="center" vertical="top" wrapText="1"/>
    </xf>
    <xf numFmtId="169" fontId="5" fillId="4" borderId="3" xfId="0" applyNumberFormat="1" applyFont="1" applyFill="1" applyBorder="1" applyAlignment="1">
      <alignment horizontal="center" vertical="top" wrapText="1"/>
    </xf>
    <xf numFmtId="168" fontId="5" fillId="5" borderId="3" xfId="0" applyNumberFormat="1" applyFont="1" applyFill="1" applyBorder="1" applyAlignment="1">
      <alignment horizontal="center" vertical="top" wrapText="1"/>
    </xf>
    <xf numFmtId="169" fontId="5" fillId="5" borderId="3" xfId="0" applyNumberFormat="1" applyFont="1" applyFill="1" applyBorder="1" applyAlignment="1">
      <alignment horizontal="center" vertical="top" wrapText="1"/>
    </xf>
    <xf numFmtId="170" fontId="5" fillId="0" borderId="14" xfId="0" applyNumberFormat="1" applyFont="1" applyFill="1" applyBorder="1" applyAlignment="1">
      <alignment horizontal="center" vertical="top" wrapText="1"/>
    </xf>
    <xf numFmtId="165" fontId="5" fillId="0" borderId="14" xfId="0" applyNumberFormat="1" applyFont="1" applyFill="1" applyBorder="1" applyAlignment="1">
      <alignment horizontal="center" vertical="top" wrapText="1"/>
    </xf>
    <xf numFmtId="169" fontId="5" fillId="4" borderId="3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top" wrapText="1"/>
    </xf>
    <xf numFmtId="168" fontId="15" fillId="0" borderId="3" xfId="0" applyNumberFormat="1" applyFont="1" applyFill="1" applyBorder="1" applyAlignment="1">
      <alignment horizontal="center" vertical="top" wrapText="1"/>
    </xf>
    <xf numFmtId="168" fontId="15" fillId="4" borderId="3" xfId="0" applyNumberFormat="1" applyFont="1" applyFill="1" applyBorder="1" applyAlignment="1">
      <alignment horizontal="center" vertical="top" wrapText="1"/>
    </xf>
    <xf numFmtId="165" fontId="15" fillId="4" borderId="3" xfId="0" applyNumberFormat="1" applyFont="1" applyFill="1" applyBorder="1" applyAlignment="1">
      <alignment horizontal="center" vertical="top" wrapText="1"/>
    </xf>
    <xf numFmtId="165" fontId="5" fillId="0" borderId="16" xfId="0" applyNumberFormat="1" applyFont="1" applyFill="1" applyBorder="1" applyAlignment="1">
      <alignment horizontal="center" vertical="top" wrapText="1"/>
    </xf>
    <xf numFmtId="165" fontId="4" fillId="0" borderId="3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center" wrapText="1"/>
    </xf>
    <xf numFmtId="168" fontId="11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wrapText="1"/>
    </xf>
    <xf numFmtId="165" fontId="11" fillId="0" borderId="3" xfId="0" applyNumberFormat="1" applyFont="1" applyFill="1" applyBorder="1" applyAlignment="1">
      <alignment vertical="top" wrapText="1"/>
    </xf>
    <xf numFmtId="165" fontId="13" fillId="0" borderId="3" xfId="0" applyNumberFormat="1" applyFont="1" applyFill="1" applyBorder="1" applyAlignment="1">
      <alignment horizont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left" vertical="top" wrapText="1"/>
    </xf>
    <xf numFmtId="165" fontId="5" fillId="4" borderId="3" xfId="0" applyNumberFormat="1" applyFont="1" applyFill="1" applyBorder="1" applyAlignment="1">
      <alignment horizontal="center" wrapText="1"/>
    </xf>
    <xf numFmtId="165" fontId="13" fillId="4" borderId="3" xfId="0" applyNumberFormat="1" applyFont="1" applyFill="1" applyBorder="1" applyAlignment="1">
      <alignment horizontal="center" wrapText="1"/>
    </xf>
    <xf numFmtId="165" fontId="13" fillId="4" borderId="3" xfId="0" applyNumberFormat="1" applyFont="1" applyFill="1" applyBorder="1" applyAlignment="1">
      <alignment horizontal="center" vertical="center" wrapText="1"/>
    </xf>
    <xf numFmtId="171" fontId="0" fillId="0" borderId="0" xfId="0" applyNumberFormat="1" applyFill="1" applyAlignment="1">
      <alignment/>
    </xf>
    <xf numFmtId="165" fontId="16" fillId="0" borderId="3" xfId="0" applyNumberFormat="1" applyFont="1" applyFill="1" applyBorder="1" applyAlignment="1">
      <alignment horizontal="left" vertical="top" wrapText="1"/>
    </xf>
    <xf numFmtId="165" fontId="11" fillId="0" borderId="3" xfId="0" applyNumberFormat="1" applyFont="1" applyFill="1" applyBorder="1" applyAlignment="1">
      <alignment horizontal="left" vertical="center" wrapText="1"/>
    </xf>
    <xf numFmtId="165" fontId="13" fillId="4" borderId="3" xfId="0" applyNumberFormat="1" applyFont="1" applyFill="1" applyBorder="1" applyAlignment="1">
      <alignment vertical="top" wrapText="1"/>
    </xf>
    <xf numFmtId="165" fontId="17" fillId="0" borderId="3" xfId="0" applyNumberFormat="1" applyFont="1" applyFill="1" applyBorder="1" applyAlignment="1">
      <alignment horizontal="left" vertical="top" wrapText="1"/>
    </xf>
    <xf numFmtId="165" fontId="5" fillId="0" borderId="3" xfId="0" applyNumberFormat="1" applyFont="1" applyFill="1" applyBorder="1" applyAlignment="1">
      <alignment horizontal="left" vertical="center" wrapText="1"/>
    </xf>
    <xf numFmtId="165" fontId="16" fillId="0" borderId="3" xfId="0" applyNumberFormat="1" applyFont="1" applyFill="1" applyBorder="1" applyAlignment="1">
      <alignment horizontal="left" vertical="center" wrapText="1"/>
    </xf>
    <xf numFmtId="165" fontId="17" fillId="0" borderId="3" xfId="0" applyNumberFormat="1" applyFont="1" applyFill="1" applyBorder="1" applyAlignment="1">
      <alignment horizontal="left" vertical="center" wrapText="1"/>
    </xf>
    <xf numFmtId="165" fontId="18" fillId="0" borderId="3" xfId="0" applyNumberFormat="1" applyFont="1" applyFill="1" applyBorder="1" applyAlignment="1">
      <alignment vertical="top" wrapText="1"/>
    </xf>
    <xf numFmtId="165" fontId="5" fillId="0" borderId="3" xfId="0" applyNumberFormat="1" applyFont="1" applyFill="1" applyBorder="1" applyAlignment="1">
      <alignment horizontal="center" vertical="top"/>
    </xf>
    <xf numFmtId="165" fontId="5" fillId="0" borderId="13" xfId="0" applyNumberFormat="1" applyFont="1" applyFill="1" applyBorder="1" applyAlignment="1">
      <alignment horizontal="center" vertical="top"/>
    </xf>
    <xf numFmtId="165" fontId="5" fillId="5" borderId="3" xfId="0" applyNumberFormat="1" applyFont="1" applyFill="1" applyBorder="1" applyAlignment="1">
      <alignment horizontal="center" vertical="top" wrapText="1"/>
    </xf>
    <xf numFmtId="165" fontId="5" fillId="5" borderId="3" xfId="0" applyNumberFormat="1" applyFont="1" applyFill="1" applyBorder="1" applyAlignment="1">
      <alignment horizontal="center" wrapText="1"/>
    </xf>
    <xf numFmtId="165" fontId="13" fillId="5" borderId="3" xfId="0" applyNumberFormat="1" applyFont="1" applyFill="1" applyBorder="1" applyAlignment="1">
      <alignment horizontal="center" wrapText="1"/>
    </xf>
    <xf numFmtId="170" fontId="5" fillId="0" borderId="3" xfId="0" applyNumberFormat="1" applyFont="1" applyFill="1" applyBorder="1" applyAlignment="1">
      <alignment horizontal="center" vertical="top"/>
    </xf>
    <xf numFmtId="165" fontId="19" fillId="0" borderId="3" xfId="0" applyNumberFormat="1" applyFont="1" applyFill="1" applyBorder="1" applyAlignment="1">
      <alignment horizontal="left" vertical="center" wrapText="1"/>
    </xf>
    <xf numFmtId="165" fontId="0" fillId="0" borderId="0" xfId="0" applyNumberFormat="1" applyFill="1" applyAlignment="1">
      <alignment horizontal="center"/>
    </xf>
    <xf numFmtId="168" fontId="5" fillId="6" borderId="3" xfId="0" applyNumberFormat="1" applyFont="1" applyFill="1" applyBorder="1" applyAlignment="1">
      <alignment horizontal="center" vertical="center" wrapText="1"/>
    </xf>
    <xf numFmtId="165" fontId="5" fillId="6" borderId="3" xfId="0" applyNumberFormat="1" applyFont="1" applyFill="1" applyBorder="1" applyAlignment="1">
      <alignment horizontal="center" vertical="center" wrapText="1"/>
    </xf>
    <xf numFmtId="165" fontId="13" fillId="6" borderId="3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left" vertical="top" wrapText="1" indent="1"/>
    </xf>
    <xf numFmtId="165" fontId="5" fillId="0" borderId="11" xfId="0" applyNumberFormat="1" applyFont="1" applyFill="1" applyBorder="1" applyAlignment="1">
      <alignment horizontal="left" vertical="top" wrapText="1" indent="1"/>
    </xf>
    <xf numFmtId="165" fontId="15" fillId="0" borderId="3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wrapText="1"/>
    </xf>
    <xf numFmtId="168" fontId="15" fillId="0" borderId="3" xfId="0" applyNumberFormat="1" applyFont="1" applyFill="1" applyBorder="1" applyAlignment="1">
      <alignment horizontal="center" wrapText="1"/>
    </xf>
    <xf numFmtId="168" fontId="15" fillId="4" borderId="3" xfId="0" applyNumberFormat="1" applyFont="1" applyFill="1" applyBorder="1" applyAlignment="1">
      <alignment horizontal="center" wrapText="1"/>
    </xf>
    <xf numFmtId="165" fontId="15" fillId="4" borderId="3" xfId="0" applyNumberFormat="1" applyFont="1" applyFill="1" applyBorder="1" applyAlignment="1">
      <alignment horizontal="center" wrapText="1"/>
    </xf>
    <xf numFmtId="165" fontId="15" fillId="0" borderId="11" xfId="0" applyNumberFormat="1" applyFont="1" applyFill="1" applyBorder="1" applyAlignment="1">
      <alignment horizontal="center" wrapText="1"/>
    </xf>
    <xf numFmtId="168" fontId="15" fillId="0" borderId="13" xfId="0" applyNumberFormat="1" applyFont="1" applyFill="1" applyBorder="1" applyAlignment="1">
      <alignment horizontal="center" wrapText="1"/>
    </xf>
    <xf numFmtId="165" fontId="15" fillId="0" borderId="13" xfId="0" applyNumberFormat="1" applyFont="1" applyFill="1" applyBorder="1" applyAlignment="1">
      <alignment horizontal="center" wrapText="1"/>
    </xf>
    <xf numFmtId="165" fontId="15" fillId="0" borderId="17" xfId="0" applyNumberFormat="1" applyFont="1" applyFill="1" applyBorder="1" applyAlignment="1">
      <alignment horizontal="center" wrapText="1"/>
    </xf>
    <xf numFmtId="165" fontId="5" fillId="0" borderId="13" xfId="0" applyNumberFormat="1" applyFont="1" applyFill="1" applyBorder="1" applyAlignment="1">
      <alignment horizontal="left" vertical="top" wrapText="1" indent="1"/>
    </xf>
    <xf numFmtId="164" fontId="0" fillId="0" borderId="3" xfId="0" applyFill="1" applyBorder="1" applyAlignment="1">
      <alignment/>
    </xf>
    <xf numFmtId="165" fontId="4" fillId="0" borderId="14" xfId="0" applyNumberFormat="1" applyFont="1" applyFill="1" applyBorder="1" applyAlignment="1">
      <alignment horizontal="center" wrapText="1"/>
    </xf>
    <xf numFmtId="165" fontId="15" fillId="0" borderId="14" xfId="0" applyNumberFormat="1" applyFont="1" applyFill="1" applyBorder="1" applyAlignment="1">
      <alignment horizontal="center" wrapText="1"/>
    </xf>
    <xf numFmtId="165" fontId="13" fillId="0" borderId="3" xfId="0" applyNumberFormat="1" applyFont="1" applyFill="1" applyBorder="1" applyAlignment="1">
      <alignment horizontal="center" vertical="center"/>
    </xf>
    <xf numFmtId="165" fontId="13" fillId="4" borderId="3" xfId="0" applyNumberFormat="1" applyFont="1" applyFill="1" applyBorder="1" applyAlignment="1">
      <alignment vertical="center" wrapText="1"/>
    </xf>
    <xf numFmtId="172" fontId="5" fillId="0" borderId="3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horizontal="center" vertical="top" wrapText="1"/>
    </xf>
    <xf numFmtId="165" fontId="13" fillId="0" borderId="3" xfId="0" applyNumberFormat="1" applyFont="1" applyFill="1" applyBorder="1" applyAlignment="1">
      <alignment vertical="center"/>
    </xf>
    <xf numFmtId="168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165" fontId="14" fillId="0" borderId="3" xfId="0" applyNumberFormat="1" applyFont="1" applyFill="1" applyBorder="1" applyAlignment="1">
      <alignment horizontal="center" vertical="center" wrapText="1"/>
    </xf>
    <xf numFmtId="168" fontId="14" fillId="0" borderId="3" xfId="0" applyNumberFormat="1" applyFont="1" applyFill="1" applyBorder="1" applyAlignment="1">
      <alignment horizontal="center" vertical="top" wrapText="1"/>
    </xf>
    <xf numFmtId="165" fontId="14" fillId="0" borderId="3" xfId="0" applyNumberFormat="1" applyFont="1" applyFill="1" applyBorder="1" applyAlignment="1">
      <alignment horizontal="center" vertical="top" wrapText="1"/>
    </xf>
    <xf numFmtId="168" fontId="14" fillId="4" borderId="3" xfId="0" applyNumberFormat="1" applyFont="1" applyFill="1" applyBorder="1" applyAlignment="1">
      <alignment horizontal="center" vertical="top" wrapText="1"/>
    </xf>
    <xf numFmtId="165" fontId="14" fillId="4" borderId="3" xfId="0" applyNumberFormat="1" applyFont="1" applyFill="1" applyBorder="1" applyAlignment="1">
      <alignment horizontal="center" vertical="top" wrapText="1"/>
    </xf>
    <xf numFmtId="165" fontId="0" fillId="0" borderId="3" xfId="0" applyNumberFormat="1" applyFont="1" applyFill="1" applyBorder="1" applyAlignment="1">
      <alignment vertical="top"/>
    </xf>
    <xf numFmtId="165" fontId="0" fillId="0" borderId="3" xfId="0" applyNumberFormat="1" applyFill="1" applyBorder="1" applyAlignment="1">
      <alignment wrapText="1"/>
    </xf>
    <xf numFmtId="165" fontId="0" fillId="0" borderId="3" xfId="0" applyNumberFormat="1" applyFill="1" applyBorder="1" applyAlignment="1">
      <alignment horizontal="center" wrapText="1"/>
    </xf>
    <xf numFmtId="165" fontId="0" fillId="0" borderId="3" xfId="0" applyNumberFormat="1" applyFont="1" applyFill="1" applyBorder="1" applyAlignment="1">
      <alignment horizontal="center" wrapText="1"/>
    </xf>
    <xf numFmtId="165" fontId="13" fillId="0" borderId="3" xfId="0" applyNumberFormat="1" applyFont="1" applyFill="1" applyBorder="1" applyAlignment="1">
      <alignment/>
    </xf>
    <xf numFmtId="165" fontId="0" fillId="0" borderId="14" xfId="0" applyNumberFormat="1" applyFill="1" applyBorder="1" applyAlignment="1">
      <alignment horizontal="center" wrapText="1"/>
    </xf>
    <xf numFmtId="164" fontId="15" fillId="0" borderId="0" xfId="0" applyFont="1" applyFill="1" applyBorder="1" applyAlignment="1">
      <alignment vertical="top" wrapText="1"/>
    </xf>
    <xf numFmtId="164" fontId="15" fillId="0" borderId="0" xfId="0" applyFont="1" applyFill="1" applyBorder="1" applyAlignment="1">
      <alignment horizontal="center" vertical="top" wrapText="1"/>
    </xf>
    <xf numFmtId="166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20" fillId="0" borderId="0" xfId="0" applyFont="1" applyFill="1" applyAlignment="1">
      <alignment/>
    </xf>
    <xf numFmtId="164" fontId="0" fillId="0" borderId="0" xfId="0" applyFill="1" applyAlignment="1">
      <alignment horizontal="right"/>
    </xf>
    <xf numFmtId="164" fontId="0" fillId="0" borderId="0" xfId="0" applyFont="1" applyFill="1" applyBorder="1" applyAlignment="1">
      <alignment horizontal="right"/>
    </xf>
    <xf numFmtId="164" fontId="4" fillId="0" borderId="0" xfId="0" applyFont="1" applyFill="1" applyAlignment="1">
      <alignment horizontal="center"/>
    </xf>
    <xf numFmtId="164" fontId="5" fillId="0" borderId="3" xfId="0" applyFont="1" applyFill="1" applyBorder="1" applyAlignment="1">
      <alignment horizontal="center" vertical="center" wrapText="1"/>
    </xf>
    <xf numFmtId="164" fontId="0" fillId="0" borderId="3" xfId="0" applyFill="1" applyBorder="1" applyAlignment="1">
      <alignment vertical="top" wrapText="1"/>
    </xf>
    <xf numFmtId="164" fontId="5" fillId="0" borderId="12" xfId="0" applyFont="1" applyFill="1" applyBorder="1" applyAlignment="1">
      <alignment vertical="center" wrapText="1"/>
    </xf>
    <xf numFmtId="164" fontId="5" fillId="0" borderId="3" xfId="0" applyFont="1" applyFill="1" applyBorder="1" applyAlignment="1">
      <alignment vertical="center" wrapText="1"/>
    </xf>
    <xf numFmtId="164" fontId="5" fillId="0" borderId="18" xfId="0" applyFont="1" applyFill="1" applyBorder="1" applyAlignment="1">
      <alignment vertical="center" wrapText="1"/>
    </xf>
    <xf numFmtId="164" fontId="5" fillId="0" borderId="11" xfId="0" applyFont="1" applyFill="1" applyBorder="1" applyAlignment="1">
      <alignment vertical="center" wrapText="1"/>
    </xf>
    <xf numFmtId="164" fontId="4" fillId="0" borderId="3" xfId="0" applyFont="1" applyFill="1" applyBorder="1" applyAlignment="1">
      <alignment horizontal="center" vertical="top" wrapText="1"/>
    </xf>
    <xf numFmtId="164" fontId="0" fillId="0" borderId="0" xfId="0" applyFill="1" applyAlignment="1">
      <alignment horizontal="left"/>
    </xf>
    <xf numFmtId="164" fontId="0" fillId="0" borderId="0" xfId="0" applyAlignment="1">
      <alignment horizontal="left"/>
    </xf>
    <xf numFmtId="164" fontId="5" fillId="0" borderId="11" xfId="0" applyFont="1" applyFill="1" applyBorder="1" applyAlignment="1">
      <alignment horizontal="center" vertical="top" wrapText="1"/>
    </xf>
    <xf numFmtId="172" fontId="5" fillId="0" borderId="3" xfId="0" applyNumberFormat="1" applyFont="1" applyFill="1" applyBorder="1" applyAlignment="1">
      <alignment vertical="top" wrapText="1"/>
    </xf>
    <xf numFmtId="172" fontId="13" fillId="0" borderId="3" xfId="0" applyNumberFormat="1" applyFont="1" applyFill="1" applyBorder="1" applyAlignment="1">
      <alignment horizontal="center" vertical="top" wrapText="1"/>
    </xf>
    <xf numFmtId="164" fontId="5" fillId="4" borderId="3" xfId="0" applyFont="1" applyFill="1" applyBorder="1" applyAlignment="1">
      <alignment horizontal="center" vertical="top" wrapText="1"/>
    </xf>
    <xf numFmtId="172" fontId="5" fillId="4" borderId="3" xfId="0" applyNumberFormat="1" applyFont="1" applyFill="1" applyBorder="1" applyAlignment="1">
      <alignment horizontal="center" vertical="top" wrapText="1"/>
    </xf>
    <xf numFmtId="172" fontId="5" fillId="4" borderId="3" xfId="0" applyNumberFormat="1" applyFont="1" applyFill="1" applyBorder="1" applyAlignment="1">
      <alignment vertical="top" wrapText="1"/>
    </xf>
    <xf numFmtId="172" fontId="13" fillId="4" borderId="3" xfId="0" applyNumberFormat="1" applyFont="1" applyFill="1" applyBorder="1" applyAlignment="1">
      <alignment horizontal="center" vertical="top" wrapText="1"/>
    </xf>
    <xf numFmtId="164" fontId="0" fillId="0" borderId="19" xfId="0" applyFill="1" applyBorder="1" applyAlignment="1">
      <alignment vertical="top" wrapText="1"/>
    </xf>
    <xf numFmtId="164" fontId="0" fillId="0" borderId="20" xfId="0" applyFill="1" applyBorder="1" applyAlignment="1">
      <alignment vertical="top" wrapText="1"/>
    </xf>
    <xf numFmtId="173" fontId="5" fillId="0" borderId="3" xfId="0" applyNumberFormat="1" applyFont="1" applyFill="1" applyBorder="1" applyAlignment="1">
      <alignment horizontal="center" vertical="top" wrapText="1"/>
    </xf>
    <xf numFmtId="172" fontId="13" fillId="0" borderId="3" xfId="0" applyNumberFormat="1" applyFont="1" applyFill="1" applyBorder="1" applyAlignment="1">
      <alignment vertical="top" wrapText="1"/>
    </xf>
    <xf numFmtId="172" fontId="13" fillId="4" borderId="3" xfId="0" applyNumberFormat="1" applyFont="1" applyFill="1" applyBorder="1" applyAlignment="1">
      <alignment vertical="top" wrapText="1"/>
    </xf>
    <xf numFmtId="172" fontId="5" fillId="0" borderId="3" xfId="0" applyNumberFormat="1" applyFont="1" applyFill="1" applyBorder="1" applyAlignment="1">
      <alignment horizontal="center" wrapText="1"/>
    </xf>
    <xf numFmtId="172" fontId="5" fillId="0" borderId="3" xfId="0" applyNumberFormat="1" applyFont="1" applyFill="1" applyBorder="1" applyAlignment="1">
      <alignment wrapText="1"/>
    </xf>
    <xf numFmtId="164" fontId="5" fillId="0" borderId="3" xfId="0" applyFont="1" applyFill="1" applyBorder="1" applyAlignment="1">
      <alignment horizontal="center" wrapText="1"/>
    </xf>
    <xf numFmtId="172" fontId="13" fillId="0" borderId="3" xfId="0" applyNumberFormat="1" applyFont="1" applyFill="1" applyBorder="1" applyAlignment="1">
      <alignment wrapText="1"/>
    </xf>
    <xf numFmtId="164" fontId="5" fillId="4" borderId="3" xfId="0" applyFont="1" applyFill="1" applyBorder="1" applyAlignment="1">
      <alignment horizontal="center" wrapText="1"/>
    </xf>
    <xf numFmtId="172" fontId="5" fillId="4" borderId="3" xfId="0" applyNumberFormat="1" applyFont="1" applyFill="1" applyBorder="1" applyAlignment="1">
      <alignment horizontal="center" wrapText="1"/>
    </xf>
    <xf numFmtId="172" fontId="5" fillId="4" borderId="3" xfId="0" applyNumberFormat="1" applyFont="1" applyFill="1" applyBorder="1" applyAlignment="1">
      <alignment wrapText="1"/>
    </xf>
    <xf numFmtId="172" fontId="13" fillId="4" borderId="3" xfId="0" applyNumberFormat="1" applyFont="1" applyFill="1" applyBorder="1" applyAlignment="1">
      <alignment wrapText="1"/>
    </xf>
    <xf numFmtId="171" fontId="5" fillId="0" borderId="3" xfId="0" applyNumberFormat="1" applyFont="1" applyFill="1" applyBorder="1" applyAlignment="1">
      <alignment horizontal="center" vertical="top" wrapText="1"/>
    </xf>
    <xf numFmtId="164" fontId="5" fillId="0" borderId="14" xfId="0" applyFont="1" applyFill="1" applyBorder="1" applyAlignment="1">
      <alignment horizontal="center" vertical="top" wrapText="1"/>
    </xf>
    <xf numFmtId="164" fontId="21" fillId="0" borderId="3" xfId="0" applyFont="1" applyFill="1" applyBorder="1" applyAlignment="1">
      <alignment horizontal="center" vertical="top" wrapText="1"/>
    </xf>
    <xf numFmtId="164" fontId="15" fillId="0" borderId="3" xfId="0" applyFont="1" applyFill="1" applyBorder="1" applyAlignment="1">
      <alignment horizontal="center" vertical="top" wrapText="1"/>
    </xf>
    <xf numFmtId="172" fontId="15" fillId="0" borderId="3" xfId="0" applyNumberFormat="1" applyFont="1" applyFill="1" applyBorder="1" applyAlignment="1">
      <alignment horizontal="center" vertical="top" wrapText="1"/>
    </xf>
    <xf numFmtId="172" fontId="15" fillId="0" borderId="3" xfId="0" applyNumberFormat="1" applyFont="1" applyFill="1" applyBorder="1" applyAlignment="1">
      <alignment vertical="top" wrapText="1"/>
    </xf>
    <xf numFmtId="164" fontId="15" fillId="4" borderId="3" xfId="0" applyFont="1" applyFill="1" applyBorder="1" applyAlignment="1">
      <alignment horizontal="center" vertical="top" wrapText="1"/>
    </xf>
    <xf numFmtId="172" fontId="15" fillId="4" borderId="3" xfId="0" applyNumberFormat="1" applyFont="1" applyFill="1" applyBorder="1" applyAlignment="1">
      <alignment horizontal="center" vertical="top" wrapText="1"/>
    </xf>
    <xf numFmtId="172" fontId="15" fillId="4" borderId="3" xfId="0" applyNumberFormat="1" applyFont="1" applyFill="1" applyBorder="1" applyAlignment="1">
      <alignment vertical="top" wrapText="1"/>
    </xf>
    <xf numFmtId="164" fontId="15" fillId="0" borderId="3" xfId="0" applyFont="1" applyFill="1" applyBorder="1" applyAlignment="1">
      <alignment horizontal="justify" vertical="top" wrapText="1"/>
    </xf>
    <xf numFmtId="172" fontId="21" fillId="0" borderId="3" xfId="0" applyNumberFormat="1" applyFont="1" applyFill="1" applyBorder="1" applyAlignment="1">
      <alignment horizontal="center" vertical="top" wrapText="1"/>
    </xf>
    <xf numFmtId="172" fontId="21" fillId="0" borderId="3" xfId="0" applyNumberFormat="1" applyFont="1" applyFill="1" applyBorder="1" applyAlignment="1">
      <alignment vertical="top" wrapText="1"/>
    </xf>
    <xf numFmtId="164" fontId="21" fillId="0" borderId="3" xfId="0" applyFont="1" applyFill="1" applyBorder="1" applyAlignment="1">
      <alignment horizontal="justify" vertical="top" wrapText="1"/>
    </xf>
    <xf numFmtId="164" fontId="4" fillId="0" borderId="21" xfId="0" applyFont="1" applyFill="1" applyBorder="1" applyAlignment="1">
      <alignment horizontal="center" wrapText="1"/>
    </xf>
    <xf numFmtId="164" fontId="6" fillId="0" borderId="3" xfId="0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horizontal="left" vertical="top" wrapText="1"/>
    </xf>
    <xf numFmtId="171" fontId="5" fillId="0" borderId="3" xfId="0" applyNumberFormat="1" applyFont="1" applyFill="1" applyBorder="1" applyAlignment="1">
      <alignment horizontal="center" wrapText="1"/>
    </xf>
    <xf numFmtId="171" fontId="5" fillId="0" borderId="3" xfId="0" applyNumberFormat="1" applyFont="1" applyFill="1" applyBorder="1" applyAlignment="1">
      <alignment wrapText="1"/>
    </xf>
    <xf numFmtId="171" fontId="5" fillId="0" borderId="3" xfId="0" applyNumberFormat="1" applyFont="1" applyFill="1" applyBorder="1" applyAlignment="1">
      <alignment horizontal="center" vertical="center" wrapText="1"/>
    </xf>
    <xf numFmtId="171" fontId="0" fillId="0" borderId="3" xfId="0" applyNumberFormat="1" applyFill="1" applyBorder="1" applyAlignment="1">
      <alignment horizontal="center" vertical="center"/>
    </xf>
    <xf numFmtId="171" fontId="3" fillId="0" borderId="3" xfId="0" applyNumberFormat="1" applyFont="1" applyFill="1" applyBorder="1" applyAlignment="1">
      <alignment horizontal="center" vertical="center"/>
    </xf>
    <xf numFmtId="171" fontId="3" fillId="0" borderId="3" xfId="0" applyNumberFormat="1" applyFont="1" applyFill="1" applyBorder="1" applyAlignment="1">
      <alignment horizontal="center"/>
    </xf>
    <xf numFmtId="171" fontId="5" fillId="4" borderId="3" xfId="0" applyNumberFormat="1" applyFont="1" applyFill="1" applyBorder="1" applyAlignment="1">
      <alignment horizontal="center" wrapText="1"/>
    </xf>
    <xf numFmtId="171" fontId="5" fillId="4" borderId="3" xfId="0" applyNumberFormat="1" applyFont="1" applyFill="1" applyBorder="1" applyAlignment="1">
      <alignment wrapText="1"/>
    </xf>
    <xf numFmtId="164" fontId="5" fillId="2" borderId="3" xfId="0" applyFont="1" applyFill="1" applyBorder="1" applyAlignment="1">
      <alignment horizontal="center" vertical="top" wrapText="1"/>
    </xf>
    <xf numFmtId="171" fontId="5" fillId="0" borderId="0" xfId="0" applyNumberFormat="1" applyFont="1" applyFill="1" applyBorder="1" applyAlignment="1">
      <alignment wrapText="1"/>
    </xf>
    <xf numFmtId="165" fontId="5" fillId="0" borderId="3" xfId="0" applyNumberFormat="1" applyFont="1" applyFill="1" applyBorder="1" applyAlignment="1">
      <alignment horizontal="right" wrapText="1"/>
    </xf>
    <xf numFmtId="165" fontId="13" fillId="0" borderId="3" xfId="0" applyNumberFormat="1" applyFont="1" applyFill="1" applyBorder="1" applyAlignment="1">
      <alignment horizontal="right" wrapText="1"/>
    </xf>
    <xf numFmtId="165" fontId="16" fillId="0" borderId="3" xfId="0" applyNumberFormat="1" applyFont="1" applyFill="1" applyBorder="1" applyAlignment="1">
      <alignment horizontal="right" vertical="center" wrapText="1"/>
    </xf>
    <xf numFmtId="171" fontId="5" fillId="0" borderId="3" xfId="0" applyNumberFormat="1" applyFont="1" applyFill="1" applyBorder="1" applyAlignment="1">
      <alignment horizontal="right" wrapText="1"/>
    </xf>
    <xf numFmtId="164" fontId="5" fillId="0" borderId="14" xfId="0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/>
    </xf>
    <xf numFmtId="168" fontId="5" fillId="4" borderId="3" xfId="0" applyNumberFormat="1" applyFont="1" applyFill="1" applyBorder="1" applyAlignment="1">
      <alignment horizontal="center" wrapText="1"/>
    </xf>
    <xf numFmtId="164" fontId="0" fillId="4" borderId="3" xfId="0" applyFill="1" applyBorder="1" applyAlignment="1">
      <alignment/>
    </xf>
    <xf numFmtId="164" fontId="0" fillId="4" borderId="0" xfId="0" applyFill="1" applyAlignment="1">
      <alignment/>
    </xf>
    <xf numFmtId="165" fontId="5" fillId="4" borderId="3" xfId="0" applyNumberFormat="1" applyFont="1" applyFill="1" applyBorder="1" applyAlignment="1">
      <alignment horizontal="right" wrapText="1"/>
    </xf>
    <xf numFmtId="165" fontId="13" fillId="4" borderId="3" xfId="0" applyNumberFormat="1" applyFont="1" applyFill="1" applyBorder="1" applyAlignment="1">
      <alignment horizontal="right" wrapText="1"/>
    </xf>
    <xf numFmtId="165" fontId="5" fillId="4" borderId="3" xfId="0" applyNumberFormat="1" applyFont="1" applyFill="1" applyBorder="1" applyAlignment="1">
      <alignment horizontal="right" vertical="center" wrapText="1"/>
    </xf>
    <xf numFmtId="171" fontId="5" fillId="4" borderId="3" xfId="0" applyNumberFormat="1" applyFont="1" applyFill="1" applyBorder="1" applyAlignment="1">
      <alignment horizontal="right" wrapText="1"/>
    </xf>
    <xf numFmtId="165" fontId="5" fillId="0" borderId="3" xfId="0" applyNumberFormat="1" applyFont="1" applyFill="1" applyBorder="1" applyAlignment="1">
      <alignment horizontal="right" vertical="center" wrapText="1"/>
    </xf>
    <xf numFmtId="164" fontId="5" fillId="0" borderId="14" xfId="0" applyFont="1" applyFill="1" applyBorder="1" applyAlignment="1">
      <alignment horizontal="left" vertical="center" wrapText="1"/>
    </xf>
    <xf numFmtId="164" fontId="15" fillId="0" borderId="3" xfId="0" applyFont="1" applyFill="1" applyBorder="1" applyAlignment="1">
      <alignment horizontal="center" wrapText="1"/>
    </xf>
    <xf numFmtId="171" fontId="15" fillId="0" borderId="3" xfId="0" applyNumberFormat="1" applyFont="1" applyFill="1" applyBorder="1" applyAlignment="1">
      <alignment horizontal="center" wrapText="1"/>
    </xf>
    <xf numFmtId="171" fontId="15" fillId="0" borderId="3" xfId="0" applyNumberFormat="1" applyFont="1" applyFill="1" applyBorder="1" applyAlignment="1">
      <alignment wrapText="1"/>
    </xf>
    <xf numFmtId="164" fontId="15" fillId="4" borderId="3" xfId="0" applyFont="1" applyFill="1" applyBorder="1" applyAlignment="1">
      <alignment horizontal="center" wrapText="1"/>
    </xf>
    <xf numFmtId="171" fontId="15" fillId="4" borderId="3" xfId="0" applyNumberFormat="1" applyFont="1" applyFill="1" applyBorder="1" applyAlignment="1">
      <alignment horizontal="center" wrapText="1"/>
    </xf>
    <xf numFmtId="171" fontId="15" fillId="4" borderId="3" xfId="0" applyNumberFormat="1" applyFont="1" applyFill="1" applyBorder="1" applyAlignment="1">
      <alignment wrapText="1"/>
    </xf>
    <xf numFmtId="171" fontId="15" fillId="0" borderId="20" xfId="0" applyNumberFormat="1" applyFont="1" applyFill="1" applyBorder="1" applyAlignment="1">
      <alignment wrapText="1"/>
    </xf>
    <xf numFmtId="164" fontId="5" fillId="0" borderId="20" xfId="0" applyFont="1" applyFill="1" applyBorder="1" applyAlignment="1">
      <alignment horizontal="center" vertical="top" wrapText="1"/>
    </xf>
    <xf numFmtId="164" fontId="4" fillId="0" borderId="13" xfId="0" applyFont="1" applyFill="1" applyBorder="1" applyAlignment="1">
      <alignment horizontal="center" vertical="top" wrapText="1"/>
    </xf>
    <xf numFmtId="165" fontId="5" fillId="0" borderId="14" xfId="0" applyNumberFormat="1" applyFont="1" applyFill="1" applyBorder="1" applyAlignment="1">
      <alignment horizontal="left" vertical="center" wrapText="1"/>
    </xf>
    <xf numFmtId="170" fontId="5" fillId="0" borderId="3" xfId="0" applyNumberFormat="1" applyFont="1" applyFill="1" applyBorder="1" applyAlignment="1">
      <alignment horizontal="center" vertical="top" wrapText="1"/>
    </xf>
    <xf numFmtId="171" fontId="13" fillId="0" borderId="3" xfId="0" applyNumberFormat="1" applyFont="1" applyFill="1" applyBorder="1" applyAlignment="1">
      <alignment wrapText="1"/>
    </xf>
    <xf numFmtId="171" fontId="13" fillId="0" borderId="3" xfId="0" applyNumberFormat="1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 wrapText="1"/>
    </xf>
    <xf numFmtId="171" fontId="13" fillId="0" borderId="3" xfId="0" applyNumberFormat="1" applyFont="1" applyFill="1" applyBorder="1" applyAlignment="1">
      <alignment vertical="top" wrapText="1"/>
    </xf>
    <xf numFmtId="171" fontId="5" fillId="4" borderId="3" xfId="0" applyNumberFormat="1" applyFont="1" applyFill="1" applyBorder="1" applyAlignment="1">
      <alignment horizontal="center" vertical="top" wrapText="1"/>
    </xf>
    <xf numFmtId="171" fontId="5" fillId="4" borderId="3" xfId="0" applyNumberFormat="1" applyFont="1" applyFill="1" applyBorder="1" applyAlignment="1">
      <alignment horizontal="center" vertical="center" wrapText="1"/>
    </xf>
    <xf numFmtId="164" fontId="5" fillId="0" borderId="15" xfId="0" applyFont="1" applyFill="1" applyBorder="1" applyAlignment="1">
      <alignment vertical="center" wrapText="1"/>
    </xf>
    <xf numFmtId="164" fontId="5" fillId="0" borderId="14" xfId="0" applyFont="1" applyFill="1" applyBorder="1" applyAlignment="1">
      <alignment vertical="center" wrapText="1"/>
    </xf>
    <xf numFmtId="164" fontId="5" fillId="0" borderId="14" xfId="0" applyFont="1" applyFill="1" applyBorder="1" applyAlignment="1">
      <alignment vertical="top" wrapText="1"/>
    </xf>
    <xf numFmtId="171" fontId="20" fillId="0" borderId="3" xfId="0" applyNumberFormat="1" applyFont="1" applyFill="1" applyBorder="1" applyAlignment="1">
      <alignment wrapText="1"/>
    </xf>
    <xf numFmtId="171" fontId="20" fillId="4" borderId="3" xfId="0" applyNumberFormat="1" applyFont="1" applyFill="1" applyBorder="1" applyAlignment="1">
      <alignment wrapText="1"/>
    </xf>
    <xf numFmtId="164" fontId="20" fillId="0" borderId="3" xfId="0" applyFont="1" applyFill="1" applyBorder="1" applyAlignment="1">
      <alignment horizontal="center" vertical="center"/>
    </xf>
    <xf numFmtId="171" fontId="20" fillId="0" borderId="3" xfId="0" applyNumberFormat="1" applyFont="1" applyFill="1" applyBorder="1" applyAlignment="1">
      <alignment horizontal="center" vertical="center"/>
    </xf>
    <xf numFmtId="165" fontId="20" fillId="0" borderId="3" xfId="0" applyNumberFormat="1" applyFont="1" applyFill="1" applyBorder="1" applyAlignment="1">
      <alignment/>
    </xf>
    <xf numFmtId="168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164" fontId="20" fillId="0" borderId="0" xfId="0" applyFont="1" applyFill="1" applyAlignment="1">
      <alignment horizontal="right"/>
    </xf>
    <xf numFmtId="164" fontId="6" fillId="0" borderId="0" xfId="0" applyFont="1" applyFill="1" applyAlignment="1">
      <alignment/>
    </xf>
    <xf numFmtId="164" fontId="6" fillId="0" borderId="0" xfId="0" applyFont="1" applyFill="1" applyBorder="1" applyAlignment="1">
      <alignment horizontal="right"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164" fontId="6" fillId="0" borderId="0" xfId="0" applyFont="1" applyFill="1" applyAlignment="1">
      <alignment vertical="top"/>
    </xf>
    <xf numFmtId="164" fontId="7" fillId="0" borderId="22" xfId="0" applyFont="1" applyFill="1" applyBorder="1" applyAlignment="1">
      <alignment horizontal="center" vertical="center"/>
    </xf>
    <xf numFmtId="164" fontId="6" fillId="0" borderId="11" xfId="0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horizontal="center" vertical="center" wrapText="1"/>
    </xf>
    <xf numFmtId="164" fontId="22" fillId="0" borderId="3" xfId="0" applyFont="1" applyFill="1" applyBorder="1" applyAlignment="1">
      <alignment vertical="top" wrapText="1"/>
    </xf>
    <xf numFmtId="174" fontId="6" fillId="0" borderId="3" xfId="0" applyNumberFormat="1" applyFont="1" applyFill="1" applyBorder="1" applyAlignment="1">
      <alignment horizontal="center" vertical="top" wrapText="1"/>
    </xf>
    <xf numFmtId="174" fontId="6" fillId="0" borderId="3" xfId="0" applyNumberFormat="1" applyFont="1" applyFill="1" applyBorder="1" applyAlignment="1">
      <alignment horizontal="center" vertical="center" wrapText="1"/>
    </xf>
    <xf numFmtId="174" fontId="6" fillId="0" borderId="3" xfId="0" applyNumberFormat="1" applyFont="1" applyFill="1" applyBorder="1" applyAlignment="1">
      <alignment vertical="top" wrapText="1"/>
    </xf>
    <xf numFmtId="164" fontId="6" fillId="0" borderId="3" xfId="0" applyFont="1" applyFill="1" applyBorder="1" applyAlignment="1">
      <alignment vertical="top" wrapText="1"/>
    </xf>
    <xf numFmtId="171" fontId="6" fillId="0" borderId="3" xfId="0" applyNumberFormat="1" applyFont="1" applyFill="1" applyBorder="1" applyAlignment="1">
      <alignment horizontal="center" vertical="top" wrapText="1"/>
    </xf>
    <xf numFmtId="164" fontId="6" fillId="0" borderId="13" xfId="0" applyFont="1" applyFill="1" applyBorder="1" applyAlignment="1">
      <alignment horizontal="center" vertical="top" wrapText="1"/>
    </xf>
    <xf numFmtId="164" fontId="6" fillId="0" borderId="16" xfId="0" applyFont="1" applyFill="1" applyBorder="1" applyAlignment="1">
      <alignment horizontal="center" vertical="top" wrapText="1"/>
    </xf>
    <xf numFmtId="164" fontId="6" fillId="0" borderId="14" xfId="0" applyFont="1" applyFill="1" applyBorder="1" applyAlignment="1">
      <alignment vertical="top" wrapText="1"/>
    </xf>
    <xf numFmtId="164" fontId="7" fillId="0" borderId="3" xfId="0" applyFont="1" applyFill="1" applyBorder="1" applyAlignment="1">
      <alignment horizontal="center" vertical="top" wrapText="1"/>
    </xf>
    <xf numFmtId="164" fontId="6" fillId="0" borderId="14" xfId="0" applyFont="1" applyFill="1" applyBorder="1" applyAlignment="1">
      <alignment horizontal="center" vertical="top" wrapText="1"/>
    </xf>
    <xf numFmtId="164" fontId="6" fillId="0" borderId="3" xfId="0" applyFont="1" applyFill="1" applyBorder="1" applyAlignment="1">
      <alignment horizontal="justify" vertical="top" wrapText="1"/>
    </xf>
    <xf numFmtId="174" fontId="6" fillId="0" borderId="15" xfId="0" applyNumberFormat="1" applyFont="1" applyFill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74" fontId="7" fillId="0" borderId="3" xfId="0" applyNumberFormat="1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right"/>
    </xf>
    <xf numFmtId="164" fontId="6" fillId="0" borderId="0" xfId="0" applyFont="1" applyFill="1" applyBorder="1" applyAlignment="1">
      <alignment horizontal="right" wrapText="1"/>
    </xf>
    <xf numFmtId="164" fontId="6" fillId="0" borderId="0" xfId="0" applyFont="1" applyFill="1" applyBorder="1" applyAlignment="1">
      <alignment horizontal="center" wrapText="1"/>
    </xf>
    <xf numFmtId="164" fontId="7" fillId="0" borderId="0" xfId="0" applyFont="1" applyFill="1" applyBorder="1" applyAlignment="1">
      <alignment horizontal="center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4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center" vertical="center" wrapText="1"/>
    </xf>
    <xf numFmtId="164" fontId="8" fillId="0" borderId="23" xfId="0" applyFont="1" applyFill="1" applyBorder="1" applyAlignment="1">
      <alignment horizontal="center" vertical="center" wrapText="1"/>
    </xf>
    <xf numFmtId="164" fontId="8" fillId="0" borderId="3" xfId="0" applyFont="1" applyFill="1" applyBorder="1" applyAlignment="1">
      <alignment horizontal="left" vertical="center" wrapText="1"/>
    </xf>
    <xf numFmtId="164" fontId="8" fillId="0" borderId="5" xfId="0" applyFont="1" applyFill="1" applyBorder="1" applyAlignment="1">
      <alignment horizontal="center" vertical="center" wrapText="1"/>
    </xf>
    <xf numFmtId="164" fontId="8" fillId="0" borderId="6" xfId="0" applyFont="1" applyFill="1" applyBorder="1" applyAlignment="1">
      <alignment horizontal="center" vertical="center" wrapText="1"/>
    </xf>
    <xf numFmtId="164" fontId="8" fillId="0" borderId="8" xfId="0" applyFont="1" applyFill="1" applyBorder="1" applyAlignment="1">
      <alignment horizontal="left" vertical="center" wrapText="1"/>
    </xf>
    <xf numFmtId="164" fontId="8" fillId="0" borderId="24" xfId="0" applyFont="1" applyFill="1" applyBorder="1" applyAlignment="1">
      <alignment horizontal="left" vertical="top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left" vertical="center" wrapText="1"/>
    </xf>
    <xf numFmtId="164" fontId="8" fillId="0" borderId="3" xfId="0" applyFont="1" applyFill="1" applyBorder="1" applyAlignment="1">
      <alignment horizontal="left" vertical="top" wrapText="1"/>
    </xf>
    <xf numFmtId="164" fontId="6" fillId="0" borderId="3" xfId="0" applyFont="1" applyFill="1" applyBorder="1" applyAlignment="1">
      <alignment horizontal="center"/>
    </xf>
    <xf numFmtId="164" fontId="6" fillId="0" borderId="3" xfId="0" applyFont="1" applyFill="1" applyBorder="1" applyAlignment="1">
      <alignment/>
    </xf>
    <xf numFmtId="164" fontId="6" fillId="4" borderId="3" xfId="0" applyFont="1" applyFill="1" applyBorder="1" applyAlignment="1">
      <alignment horizontal="center"/>
    </xf>
    <xf numFmtId="165" fontId="8" fillId="4" borderId="3" xfId="0" applyNumberFormat="1" applyFont="1" applyFill="1" applyBorder="1" applyAlignment="1">
      <alignment horizontal="center" vertical="center" wrapText="1"/>
    </xf>
    <xf numFmtId="165" fontId="6" fillId="4" borderId="3" xfId="0" applyNumberFormat="1" applyFont="1" applyFill="1" applyBorder="1" applyAlignment="1">
      <alignment/>
    </xf>
    <xf numFmtId="170" fontId="8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/>
    </xf>
    <xf numFmtId="164" fontId="8" fillId="0" borderId="11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vertical="center" wrapText="1"/>
    </xf>
    <xf numFmtId="164" fontId="0" fillId="0" borderId="0" xfId="0" applyFill="1" applyBorder="1" applyAlignment="1">
      <alignment/>
    </xf>
    <xf numFmtId="164" fontId="15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view="pageBreakPreview" zoomScale="70" zoomScaleSheetLayoutView="70" workbookViewId="0" topLeftCell="A1">
      <selection activeCell="J4" sqref="J4"/>
    </sheetView>
  </sheetViews>
  <sheetFormatPr defaultColWidth="9.140625" defaultRowHeight="15"/>
  <cols>
    <col min="1" max="1" width="6.421875" style="0" customWidth="1"/>
    <col min="2" max="2" width="42.57421875" style="0" customWidth="1"/>
    <col min="3" max="3" width="16.57421875" style="0" customWidth="1"/>
    <col min="4" max="4" width="20.7109375" style="0" customWidth="1"/>
    <col min="5" max="5" width="13.7109375" style="0" customWidth="1"/>
    <col min="6" max="6" width="15.8515625" style="0" customWidth="1"/>
    <col min="7" max="7" width="15.7109375" style="0" customWidth="1"/>
    <col min="8" max="8" width="16.7109375" style="0" customWidth="1"/>
    <col min="9" max="9" width="24.7109375" style="0" customWidth="1"/>
    <col min="10" max="10" width="17.00390625" style="0" customWidth="1"/>
    <col min="11" max="11" width="30.8515625" style="0" customWidth="1"/>
  </cols>
  <sheetData>
    <row r="1" spans="11:12" ht="18">
      <c r="K1" s="1"/>
      <c r="L1" s="1"/>
    </row>
    <row r="2" spans="1:12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s="3"/>
      <c r="B3" s="3"/>
      <c r="C3" s="3"/>
      <c r="D3" s="3"/>
      <c r="E3" s="3"/>
      <c r="F3" s="3"/>
      <c r="G3" s="3"/>
      <c r="H3" s="3"/>
      <c r="I3" s="3"/>
      <c r="J3" s="4" t="s">
        <v>1</v>
      </c>
      <c r="K3" s="4"/>
      <c r="L3" s="4"/>
    </row>
    <row r="4" spans="1:12" ht="15.75">
      <c r="A4" s="5"/>
      <c r="B4" s="5"/>
      <c r="C4" s="5"/>
      <c r="D4" s="5"/>
      <c r="E4" s="6"/>
      <c r="F4" s="6"/>
      <c r="G4" s="5"/>
      <c r="H4" s="6"/>
      <c r="I4" s="5"/>
      <c r="J4" s="2" t="s">
        <v>2</v>
      </c>
      <c r="K4" s="2"/>
      <c r="L4" s="2"/>
    </row>
    <row r="5" spans="1:12" ht="14.25">
      <c r="A5" s="7"/>
      <c r="B5" s="7"/>
      <c r="C5" s="7"/>
      <c r="D5" s="8"/>
      <c r="E5" s="9"/>
      <c r="F5" s="7"/>
      <c r="G5" s="7"/>
      <c r="H5" s="6"/>
      <c r="I5" s="7"/>
      <c r="J5" s="7"/>
      <c r="K5" s="2"/>
      <c r="L5" s="2"/>
    </row>
    <row r="6" spans="1:12" ht="14.25">
      <c r="A6" s="7"/>
      <c r="B6" s="7"/>
      <c r="C6" s="7"/>
      <c r="D6" s="8"/>
      <c r="E6" s="7"/>
      <c r="F6" s="7"/>
      <c r="G6" s="7"/>
      <c r="H6" s="6"/>
      <c r="I6" s="7"/>
      <c r="J6" s="7"/>
      <c r="K6" s="5"/>
      <c r="L6" s="5"/>
    </row>
    <row r="7" ht="18">
      <c r="B7" s="10" t="s">
        <v>3</v>
      </c>
    </row>
    <row r="8" spans="1:11" ht="26.25" customHeight="1">
      <c r="A8" s="11" t="s">
        <v>4</v>
      </c>
      <c r="B8" s="12" t="s">
        <v>5</v>
      </c>
      <c r="C8" s="13" t="s">
        <v>6</v>
      </c>
      <c r="D8" s="14" t="s">
        <v>7</v>
      </c>
      <c r="E8" s="15"/>
      <c r="F8" s="15"/>
      <c r="G8" s="15"/>
      <c r="H8" s="15"/>
      <c r="I8" s="15"/>
      <c r="J8" s="14" t="s">
        <v>8</v>
      </c>
      <c r="K8" s="16" t="s">
        <v>9</v>
      </c>
    </row>
    <row r="9" spans="1:11" ht="15.75" customHeight="1">
      <c r="A9" s="11"/>
      <c r="B9" s="12"/>
      <c r="C9" s="13"/>
      <c r="D9" s="14" t="s">
        <v>10</v>
      </c>
      <c r="E9" s="14" t="s">
        <v>11</v>
      </c>
      <c r="F9" s="14" t="s">
        <v>12</v>
      </c>
      <c r="G9" s="14"/>
      <c r="H9" s="14"/>
      <c r="I9" s="14"/>
      <c r="J9" s="14"/>
      <c r="K9" s="16"/>
    </row>
    <row r="10" spans="1:11" ht="20.25" customHeight="1">
      <c r="A10" s="11"/>
      <c r="B10" s="12"/>
      <c r="C10" s="13"/>
      <c r="D10" s="17"/>
      <c r="E10" s="14"/>
      <c r="F10" s="14" t="s">
        <v>13</v>
      </c>
      <c r="G10" s="14"/>
      <c r="H10" s="14"/>
      <c r="I10" s="14" t="s">
        <v>14</v>
      </c>
      <c r="J10" s="14"/>
      <c r="K10" s="16"/>
    </row>
    <row r="11" spans="1:11" ht="21" customHeight="1">
      <c r="A11" s="18"/>
      <c r="B11" s="19"/>
      <c r="C11" s="20"/>
      <c r="D11" s="17"/>
      <c r="E11" s="14"/>
      <c r="F11" s="14" t="s">
        <v>15</v>
      </c>
      <c r="G11" s="14" t="s">
        <v>16</v>
      </c>
      <c r="H11" s="14"/>
      <c r="I11" s="14"/>
      <c r="J11" s="14"/>
      <c r="K11" s="19"/>
    </row>
    <row r="12" spans="1:11" ht="39" customHeight="1">
      <c r="A12" s="18"/>
      <c r="B12" s="19"/>
      <c r="C12" s="20"/>
      <c r="D12" s="17"/>
      <c r="E12" s="14"/>
      <c r="F12" s="14"/>
      <c r="G12" s="14" t="s">
        <v>17</v>
      </c>
      <c r="H12" s="14" t="s">
        <v>18</v>
      </c>
      <c r="I12" s="14"/>
      <c r="J12" s="14"/>
      <c r="K12" s="19"/>
    </row>
    <row r="13" spans="1:11" ht="15">
      <c r="A13" s="21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</row>
    <row r="14" spans="1:11" ht="21.75" customHeight="1">
      <c r="A14" s="22" t="s">
        <v>19</v>
      </c>
      <c r="B14" s="23" t="s">
        <v>20</v>
      </c>
      <c r="C14" s="24">
        <v>2017</v>
      </c>
      <c r="D14" s="25">
        <f aca="true" t="shared" si="0" ref="D14:D15">H14+I14+J14</f>
        <v>83856.64676000002</v>
      </c>
      <c r="E14" s="25"/>
      <c r="F14" s="25">
        <f>G14+H14</f>
        <v>9038.8</v>
      </c>
      <c r="G14" s="25"/>
      <c r="H14" s="25">
        <f>H24</f>
        <v>9038.8</v>
      </c>
      <c r="I14" s="25">
        <f>I24+I34+I44</f>
        <v>74817.84676000001</v>
      </c>
      <c r="J14" s="25">
        <v>0</v>
      </c>
      <c r="K14" s="22" t="s">
        <v>21</v>
      </c>
    </row>
    <row r="15" spans="1:11" ht="20.25" customHeight="1">
      <c r="A15" s="22"/>
      <c r="B15" s="23"/>
      <c r="C15" s="24">
        <v>2018</v>
      </c>
      <c r="D15" s="25">
        <f t="shared" si="0"/>
        <v>81456.39127</v>
      </c>
      <c r="E15" s="25"/>
      <c r="F15" s="25">
        <f>H15+G15</f>
        <v>10207.418000000001</v>
      </c>
      <c r="G15" s="25"/>
      <c r="H15" s="25">
        <f>SUM(H25+H35+H45)</f>
        <v>10207.418000000001</v>
      </c>
      <c r="I15" s="25">
        <f>SUM(I25+I35+I45)</f>
        <v>65309.934519999995</v>
      </c>
      <c r="J15" s="25">
        <f aca="true" t="shared" si="1" ref="J15:J17">J25</f>
        <v>5939.03875</v>
      </c>
      <c r="K15" s="22"/>
    </row>
    <row r="16" spans="1:11" ht="15.75">
      <c r="A16" s="22"/>
      <c r="B16" s="23"/>
      <c r="C16" s="24">
        <v>2019</v>
      </c>
      <c r="D16" s="25">
        <f>F16+I16+J16</f>
        <v>94820.90904000001</v>
      </c>
      <c r="E16" s="25"/>
      <c r="F16" s="25">
        <f>G16+H16</f>
        <v>15341.064000000002</v>
      </c>
      <c r="G16" s="25">
        <f>G36</f>
        <v>4407.4</v>
      </c>
      <c r="H16" s="25">
        <f aca="true" t="shared" si="2" ref="H16:H22">H26+H36</f>
        <v>10933.664000000002</v>
      </c>
      <c r="I16" s="25">
        <f>I26+I36+I46</f>
        <v>69536.57411000002</v>
      </c>
      <c r="J16" s="25">
        <f t="shared" si="1"/>
        <v>9943.270929999999</v>
      </c>
      <c r="K16" s="22"/>
    </row>
    <row r="17" spans="1:11" ht="21" customHeight="1">
      <c r="A17" s="22"/>
      <c r="B17" s="23"/>
      <c r="C17" s="24">
        <v>2020</v>
      </c>
      <c r="D17" s="25">
        <f>H17+I17+J17+E17</f>
        <v>87737.20133</v>
      </c>
      <c r="E17" s="25">
        <v>16.6</v>
      </c>
      <c r="F17" s="25">
        <f>H17</f>
        <v>11747.5</v>
      </c>
      <c r="G17" s="25"/>
      <c r="H17" s="25">
        <f t="shared" si="2"/>
        <v>11747.5</v>
      </c>
      <c r="I17" s="25">
        <f aca="true" t="shared" si="3" ref="I17:I22">I27+I37+I47+I54</f>
        <v>70091.44608</v>
      </c>
      <c r="J17" s="25">
        <f t="shared" si="1"/>
        <v>5881.65525</v>
      </c>
      <c r="K17" s="22"/>
    </row>
    <row r="18" spans="1:11" ht="21" customHeight="1">
      <c r="A18" s="22"/>
      <c r="B18" s="23"/>
      <c r="C18" s="24">
        <v>2021</v>
      </c>
      <c r="D18" s="25">
        <f aca="true" t="shared" si="4" ref="D18:D20">E18+F18+I18+J18</f>
        <v>91222.98919</v>
      </c>
      <c r="E18" s="25">
        <v>33.2</v>
      </c>
      <c r="F18" s="25">
        <f aca="true" t="shared" si="5" ref="F18:F20">H18+G18</f>
        <v>16983.55</v>
      </c>
      <c r="G18" s="25">
        <f>G38+G28</f>
        <v>3410.3</v>
      </c>
      <c r="H18" s="25">
        <f t="shared" si="2"/>
        <v>13573.25</v>
      </c>
      <c r="I18" s="25">
        <f t="shared" si="3"/>
        <v>64676.23919</v>
      </c>
      <c r="J18" s="25">
        <f aca="true" t="shared" si="6" ref="J18:J20">J28+J38</f>
        <v>9530</v>
      </c>
      <c r="K18" s="22"/>
    </row>
    <row r="19" spans="1:11" ht="21" customHeight="1">
      <c r="A19" s="22"/>
      <c r="B19" s="23"/>
      <c r="C19" s="24">
        <v>2022</v>
      </c>
      <c r="D19" s="25">
        <f t="shared" si="4"/>
        <v>108371.07128</v>
      </c>
      <c r="E19" s="25">
        <f aca="true" t="shared" si="7" ref="E19:E22">E29+E39+E49+E56</f>
        <v>39.6</v>
      </c>
      <c r="F19" s="25">
        <f t="shared" si="5"/>
        <v>18010.817000000003</v>
      </c>
      <c r="G19" s="25">
        <f aca="true" t="shared" si="8" ref="G19:G22">G29+G39</f>
        <v>55</v>
      </c>
      <c r="H19" s="25">
        <f t="shared" si="2"/>
        <v>17955.817000000003</v>
      </c>
      <c r="I19" s="25">
        <f t="shared" si="3"/>
        <v>80056.68228000001</v>
      </c>
      <c r="J19" s="25">
        <f t="shared" si="6"/>
        <v>10263.972</v>
      </c>
      <c r="K19" s="22"/>
    </row>
    <row r="20" spans="1:11" ht="21" customHeight="1">
      <c r="A20" s="22"/>
      <c r="B20" s="23"/>
      <c r="C20" s="26">
        <v>2023</v>
      </c>
      <c r="D20" s="27">
        <f t="shared" si="4"/>
        <v>107895.52449</v>
      </c>
      <c r="E20" s="27">
        <f t="shared" si="7"/>
        <v>39.2</v>
      </c>
      <c r="F20" s="27">
        <f t="shared" si="5"/>
        <v>24713.695780000002</v>
      </c>
      <c r="G20" s="27">
        <f t="shared" si="8"/>
        <v>4668.928</v>
      </c>
      <c r="H20" s="27">
        <f t="shared" si="2"/>
        <v>20044.767780000002</v>
      </c>
      <c r="I20" s="27">
        <f t="shared" si="3"/>
        <v>73609.65177999999</v>
      </c>
      <c r="J20" s="27">
        <f t="shared" si="6"/>
        <v>9532.97693</v>
      </c>
      <c r="K20" s="22"/>
    </row>
    <row r="21" spans="1:11" ht="21" customHeight="1">
      <c r="A21" s="22"/>
      <c r="B21" s="23"/>
      <c r="C21" s="26">
        <v>2024</v>
      </c>
      <c r="D21" s="27">
        <f>E22+F21+I21+J21</f>
        <v>81092.652</v>
      </c>
      <c r="E21" s="27">
        <f t="shared" si="7"/>
        <v>39.2</v>
      </c>
      <c r="F21" s="27">
        <f aca="true" t="shared" si="9" ref="F21:F22">F31+F41</f>
        <v>14302.8</v>
      </c>
      <c r="G21" s="27">
        <f t="shared" si="8"/>
        <v>0</v>
      </c>
      <c r="H21" s="27">
        <f t="shared" si="2"/>
        <v>14302.8</v>
      </c>
      <c r="I21" s="27">
        <f t="shared" si="3"/>
        <v>60300.65200000001</v>
      </c>
      <c r="J21" s="27">
        <f>'под. культура'!J954+J41</f>
        <v>6450</v>
      </c>
      <c r="K21" s="22"/>
    </row>
    <row r="22" spans="1:11" ht="21" customHeight="1">
      <c r="A22" s="22"/>
      <c r="B22" s="23"/>
      <c r="C22" s="26">
        <v>2025</v>
      </c>
      <c r="D22" s="27">
        <f>E22+F22+I22+J22</f>
        <v>81089.35200000001</v>
      </c>
      <c r="E22" s="27">
        <f t="shared" si="7"/>
        <v>39.2</v>
      </c>
      <c r="F22" s="27">
        <f t="shared" si="9"/>
        <v>14302.8</v>
      </c>
      <c r="G22" s="27">
        <f t="shared" si="8"/>
        <v>0</v>
      </c>
      <c r="H22" s="27">
        <f t="shared" si="2"/>
        <v>14302.8</v>
      </c>
      <c r="I22" s="27">
        <f t="shared" si="3"/>
        <v>60297.352000000006</v>
      </c>
      <c r="J22" s="27">
        <f>'под. культура'!J955+J42</f>
        <v>6450</v>
      </c>
      <c r="K22" s="22"/>
    </row>
    <row r="23" spans="1:11" ht="27" customHeight="1">
      <c r="A23" s="22"/>
      <c r="B23" s="28" t="s">
        <v>22</v>
      </c>
      <c r="C23" s="29" t="s">
        <v>23</v>
      </c>
      <c r="D23" s="30">
        <f>SUM(D14:D22)</f>
        <v>817542.73736</v>
      </c>
      <c r="E23" s="30">
        <f>SUM(E14:E22)</f>
        <v>207.00000000000003</v>
      </c>
      <c r="F23" s="30">
        <f>SUM(F14:F22)</f>
        <v>134648.44478000002</v>
      </c>
      <c r="G23" s="30">
        <f>SUM(G14:G22)</f>
        <v>12541.628</v>
      </c>
      <c r="H23" s="30">
        <f>SUM(H14:H22)</f>
        <v>122106.81678000001</v>
      </c>
      <c r="I23" s="30">
        <f>SUM(I14:I22)</f>
        <v>618696.3787199999</v>
      </c>
      <c r="J23" s="30">
        <f>SUM(J14:J22)</f>
        <v>63990.91385999999</v>
      </c>
      <c r="K23" s="22"/>
    </row>
    <row r="24" spans="1:11" ht="30.75" customHeight="1">
      <c r="A24" s="22" t="s">
        <v>24</v>
      </c>
      <c r="B24" s="23" t="s">
        <v>25</v>
      </c>
      <c r="C24" s="24">
        <v>2017</v>
      </c>
      <c r="D24" s="25">
        <f aca="true" t="shared" si="10" ref="D24:D26">H24+I24+J24</f>
        <v>83485.04676000001</v>
      </c>
      <c r="E24" s="25"/>
      <c r="F24" s="25">
        <f aca="true" t="shared" si="11" ref="F24:F27">G24+H24</f>
        <v>9038.8</v>
      </c>
      <c r="G24" s="25"/>
      <c r="H24" s="25">
        <f>'под. культура'!H947</f>
        <v>9038.8</v>
      </c>
      <c r="I24" s="25">
        <f>'под. культура'!I947</f>
        <v>74446.24676000001</v>
      </c>
      <c r="J24" s="25">
        <f>'под. культура'!J947</f>
        <v>0</v>
      </c>
      <c r="K24" s="22" t="s">
        <v>21</v>
      </c>
    </row>
    <row r="25" spans="1:11" ht="27" customHeight="1">
      <c r="A25" s="22"/>
      <c r="B25" s="23"/>
      <c r="C25" s="24">
        <v>2018</v>
      </c>
      <c r="D25" s="25">
        <f t="shared" si="10"/>
        <v>81020.64127</v>
      </c>
      <c r="E25" s="25"/>
      <c r="F25" s="25">
        <f t="shared" si="11"/>
        <v>10207.418000000001</v>
      </c>
      <c r="G25" s="25"/>
      <c r="H25" s="25">
        <f>'под. культура'!H948</f>
        <v>10207.418000000001</v>
      </c>
      <c r="I25" s="25">
        <f>'под. культура'!I948</f>
        <v>64874.184519999995</v>
      </c>
      <c r="J25" s="25">
        <f>'под. культура'!J918</f>
        <v>5939.03875</v>
      </c>
      <c r="K25" s="22"/>
    </row>
    <row r="26" spans="1:11" ht="27" customHeight="1">
      <c r="A26" s="22"/>
      <c r="B26" s="23"/>
      <c r="C26" s="24">
        <v>2019</v>
      </c>
      <c r="D26" s="25">
        <f t="shared" si="10"/>
        <v>89416.72404000002</v>
      </c>
      <c r="E26" s="25"/>
      <c r="F26" s="25">
        <f t="shared" si="11"/>
        <v>10602.964000000002</v>
      </c>
      <c r="G26" s="25"/>
      <c r="H26" s="25">
        <f>'под. культура'!H949</f>
        <v>10602.964000000002</v>
      </c>
      <c r="I26" s="25">
        <f>'под. культура'!I949</f>
        <v>68870.48911000001</v>
      </c>
      <c r="J26" s="25">
        <f>'под. культура'!J919</f>
        <v>9943.270929999999</v>
      </c>
      <c r="K26" s="22"/>
    </row>
    <row r="27" spans="1:11" ht="24.75" customHeight="1">
      <c r="A27" s="22"/>
      <c r="B27" s="23"/>
      <c r="C27" s="24">
        <v>2020</v>
      </c>
      <c r="D27" s="25">
        <f aca="true" t="shared" si="12" ref="D27:D32">E27+F27+I27+J27</f>
        <v>86650.26683</v>
      </c>
      <c r="E27" s="25">
        <v>16.6</v>
      </c>
      <c r="F27" s="25">
        <f t="shared" si="11"/>
        <v>11163.9</v>
      </c>
      <c r="G27" s="25"/>
      <c r="H27" s="25">
        <f>'под. культура'!H950</f>
        <v>11163.9</v>
      </c>
      <c r="I27" s="25">
        <f>'под. культура'!I950</f>
        <v>69588.11158</v>
      </c>
      <c r="J27" s="25">
        <f>'под. культура'!J920</f>
        <v>5881.65525</v>
      </c>
      <c r="K27" s="22"/>
    </row>
    <row r="28" spans="1:11" ht="24.75" customHeight="1">
      <c r="A28" s="22"/>
      <c r="B28" s="23"/>
      <c r="C28" s="24">
        <v>2021</v>
      </c>
      <c r="D28" s="25">
        <f t="shared" si="12"/>
        <v>67623.12641</v>
      </c>
      <c r="E28" s="25">
        <v>33.2</v>
      </c>
      <c r="F28" s="25">
        <f aca="true" t="shared" si="13" ref="F28:F30">H28+G28</f>
        <v>12541.4</v>
      </c>
      <c r="G28" s="25">
        <f>'под. культура'!G951</f>
        <v>61.8</v>
      </c>
      <c r="H28" s="25">
        <f>'под. культура'!H951</f>
        <v>12479.6</v>
      </c>
      <c r="I28" s="25">
        <f>'под. культура'!I951</f>
        <v>47718.52641</v>
      </c>
      <c r="J28" s="25">
        <f>'под. культура'!J951</f>
        <v>7330</v>
      </c>
      <c r="K28" s="22"/>
    </row>
    <row r="29" spans="1:11" ht="24.75" customHeight="1">
      <c r="A29" s="22"/>
      <c r="B29" s="23"/>
      <c r="C29" s="24">
        <v>2022</v>
      </c>
      <c r="D29" s="25">
        <f t="shared" si="12"/>
        <v>76088.28024000001</v>
      </c>
      <c r="E29" s="25">
        <f>'под. культура'!E952</f>
        <v>39.6</v>
      </c>
      <c r="F29" s="25">
        <f t="shared" si="13"/>
        <v>13882.1</v>
      </c>
      <c r="G29" s="25">
        <f>'под. культура'!G952</f>
        <v>55</v>
      </c>
      <c r="H29" s="25">
        <f>'под. культура'!H952</f>
        <v>13827.1</v>
      </c>
      <c r="I29" s="25">
        <f>'под. культура'!I952</f>
        <v>54886.58024</v>
      </c>
      <c r="J29" s="25">
        <f>'под. культура'!J952</f>
        <v>7280</v>
      </c>
      <c r="K29" s="22"/>
    </row>
    <row r="30" spans="1:11" ht="19.5" customHeight="1">
      <c r="A30" s="22"/>
      <c r="B30" s="23"/>
      <c r="C30" s="26">
        <v>2023</v>
      </c>
      <c r="D30" s="27">
        <f t="shared" si="12"/>
        <v>83163.65984</v>
      </c>
      <c r="E30" s="27">
        <f>'под. культура'!E953</f>
        <v>39.2</v>
      </c>
      <c r="F30" s="27">
        <f t="shared" si="13"/>
        <v>21233.13</v>
      </c>
      <c r="G30" s="27">
        <f>'под. культура'!G953</f>
        <v>4668.928</v>
      </c>
      <c r="H30" s="27">
        <f>'под. культура'!H953</f>
        <v>16564.202</v>
      </c>
      <c r="I30" s="27">
        <f>'под. культура'!I953</f>
        <v>55980.56483999999</v>
      </c>
      <c r="J30" s="27">
        <f>'под. культура'!J953</f>
        <v>5910.765</v>
      </c>
      <c r="K30" s="22"/>
    </row>
    <row r="31" spans="1:11" ht="19.5" customHeight="1">
      <c r="A31" s="22"/>
      <c r="B31" s="23"/>
      <c r="C31" s="26">
        <v>2024</v>
      </c>
      <c r="D31" s="27">
        <f t="shared" si="12"/>
        <v>63008.70700000001</v>
      </c>
      <c r="E31" s="27">
        <f>'под. культура'!E954</f>
        <v>39.2</v>
      </c>
      <c r="F31" s="27">
        <f aca="true" t="shared" si="14" ref="F31:F32">G31+H31</f>
        <v>13508.3</v>
      </c>
      <c r="G31" s="27">
        <f>'под. культура'!G954</f>
        <v>0</v>
      </c>
      <c r="H31" s="27">
        <f>'под. культура'!H954</f>
        <v>13508.3</v>
      </c>
      <c r="I31" s="27">
        <f>'под. культура'!I954</f>
        <v>45211.20700000001</v>
      </c>
      <c r="J31" s="27">
        <f>'под. культура'!J954</f>
        <v>4250</v>
      </c>
      <c r="K31" s="22"/>
    </row>
    <row r="32" spans="1:11" ht="19.5" customHeight="1">
      <c r="A32" s="22"/>
      <c r="B32" s="23"/>
      <c r="C32" s="26">
        <v>2025</v>
      </c>
      <c r="D32" s="27">
        <f t="shared" si="12"/>
        <v>63038.51700000001</v>
      </c>
      <c r="E32" s="27">
        <f>'под. культура'!E955</f>
        <v>39.2</v>
      </c>
      <c r="F32" s="27">
        <f t="shared" si="14"/>
        <v>13508.3</v>
      </c>
      <c r="G32" s="27">
        <f>'под. культура'!G955</f>
        <v>0</v>
      </c>
      <c r="H32" s="27">
        <f>'под. культура'!H955</f>
        <v>13508.3</v>
      </c>
      <c r="I32" s="27">
        <f>'под. культура'!I955</f>
        <v>45241.01700000001</v>
      </c>
      <c r="J32" s="27">
        <f>'под. культура'!J955</f>
        <v>4250</v>
      </c>
      <c r="K32" s="22"/>
    </row>
    <row r="33" spans="1:11" ht="17.25" customHeight="1">
      <c r="A33" s="22"/>
      <c r="B33" s="28" t="s">
        <v>26</v>
      </c>
      <c r="C33" s="29" t="s">
        <v>23</v>
      </c>
      <c r="D33" s="30">
        <f>SUM(D24:D32)</f>
        <v>693494.9693900001</v>
      </c>
      <c r="E33" s="30">
        <f>SUM(E24:E32)</f>
        <v>207.00000000000003</v>
      </c>
      <c r="F33" s="30">
        <f>SUM(F24:F32)</f>
        <v>115686.31200000002</v>
      </c>
      <c r="G33" s="30">
        <f>SUM(G24:G32)</f>
        <v>4785.728</v>
      </c>
      <c r="H33" s="30">
        <f>SUM(H24:H32)</f>
        <v>110900.58400000002</v>
      </c>
      <c r="I33" s="30">
        <f>SUM(I24:I32)</f>
        <v>526816.9274599999</v>
      </c>
      <c r="J33" s="30">
        <f>SUM(J24:J32)</f>
        <v>50784.72993</v>
      </c>
      <c r="K33" s="22"/>
    </row>
    <row r="34" spans="1:11" ht="21" customHeight="1">
      <c r="A34" s="22" t="s">
        <v>27</v>
      </c>
      <c r="B34" s="23" t="s">
        <v>28</v>
      </c>
      <c r="C34" s="24">
        <v>2017</v>
      </c>
      <c r="D34" s="25">
        <f>I34</f>
        <v>358.5</v>
      </c>
      <c r="E34" s="31"/>
      <c r="F34" s="31"/>
      <c r="G34" s="31"/>
      <c r="H34" s="31"/>
      <c r="I34" s="25">
        <f>'подпр Физ и спорт'!O74</f>
        <v>358.5</v>
      </c>
      <c r="J34" s="31"/>
      <c r="K34" s="22" t="s">
        <v>21</v>
      </c>
    </row>
    <row r="35" spans="1:11" ht="19.5" customHeight="1">
      <c r="A35" s="22"/>
      <c r="B35" s="23"/>
      <c r="C35" s="24">
        <v>2018</v>
      </c>
      <c r="D35" s="25">
        <f>H35+I35</f>
        <v>428.5</v>
      </c>
      <c r="E35" s="25"/>
      <c r="F35" s="25"/>
      <c r="G35" s="25"/>
      <c r="H35" s="25"/>
      <c r="I35" s="25">
        <f>'подпр Физ и спорт'!O75+70</f>
        <v>428.5</v>
      </c>
      <c r="J35" s="31"/>
      <c r="K35" s="22"/>
    </row>
    <row r="36" spans="1:11" ht="15.75">
      <c r="A36" s="22"/>
      <c r="B36" s="23"/>
      <c r="C36" s="24">
        <v>2019</v>
      </c>
      <c r="D36" s="25">
        <f>H36+I36+G36</f>
        <v>5391.084999999999</v>
      </c>
      <c r="E36" s="31"/>
      <c r="F36" s="25">
        <f>H36+G36</f>
        <v>4738.099999999999</v>
      </c>
      <c r="G36" s="25">
        <f>'подпр Физ и спорт'!H89</f>
        <v>4407.4</v>
      </c>
      <c r="H36" s="25">
        <f>'подпр Физ и спорт'!I184</f>
        <v>330.7</v>
      </c>
      <c r="I36" s="25">
        <f>'подпр Физ и спорт'!O184</f>
        <v>652.985</v>
      </c>
      <c r="J36" s="31"/>
      <c r="K36" s="22"/>
    </row>
    <row r="37" spans="1:11" ht="19.5" customHeight="1">
      <c r="A37" s="22"/>
      <c r="B37" s="23"/>
      <c r="C37" s="24">
        <v>2020</v>
      </c>
      <c r="D37" s="25">
        <f>H37+I37</f>
        <v>1069.9875</v>
      </c>
      <c r="E37" s="31"/>
      <c r="F37" s="25">
        <f>G37+H37</f>
        <v>583.6</v>
      </c>
      <c r="G37" s="31"/>
      <c r="H37" s="25">
        <f>'подпр Физ и спорт'!I185</f>
        <v>583.6</v>
      </c>
      <c r="I37" s="25">
        <f>'подпр Физ и спорт'!O185</f>
        <v>486.3875</v>
      </c>
      <c r="J37" s="31"/>
      <c r="K37" s="22"/>
    </row>
    <row r="38" spans="1:11" ht="24" customHeight="1">
      <c r="A38" s="22"/>
      <c r="B38" s="23"/>
      <c r="C38" s="32">
        <v>2021</v>
      </c>
      <c r="D38" s="33">
        <f aca="true" t="shared" si="15" ref="D38:D42">F38+I38+J38</f>
        <v>23489.36378</v>
      </c>
      <c r="E38" s="34"/>
      <c r="F38" s="33">
        <f aca="true" t="shared" si="16" ref="F38:F42">H38+G38</f>
        <v>4442.15</v>
      </c>
      <c r="G38" s="33">
        <f>'подпр Физ и спорт'!H186</f>
        <v>3348.5</v>
      </c>
      <c r="H38" s="33">
        <f>'подпр Физ и спорт'!I186</f>
        <v>1093.65</v>
      </c>
      <c r="I38" s="33">
        <f>'подпр Физ и спорт'!O186</f>
        <v>16847.213780000002</v>
      </c>
      <c r="J38" s="33">
        <f>'подпр Физ и спорт'!P176</f>
        <v>2200</v>
      </c>
      <c r="K38" s="22"/>
    </row>
    <row r="39" spans="1:11" ht="24" customHeight="1">
      <c r="A39" s="22"/>
      <c r="B39" s="23"/>
      <c r="C39" s="24">
        <v>2022</v>
      </c>
      <c r="D39" s="25">
        <f t="shared" si="15"/>
        <v>30443.306259999998</v>
      </c>
      <c r="E39" s="31"/>
      <c r="F39" s="25">
        <f t="shared" si="16"/>
        <v>4128.717000000001</v>
      </c>
      <c r="G39" s="25">
        <f>'подпр Физ и спорт'!H187</f>
        <v>0</v>
      </c>
      <c r="H39" s="25">
        <f>'подпр Физ и спорт'!I187</f>
        <v>4128.717000000001</v>
      </c>
      <c r="I39" s="25">
        <f>'подпр Физ и спорт'!O187</f>
        <v>23330.61726</v>
      </c>
      <c r="J39" s="25">
        <f>'подпр Физ и спорт'!P177</f>
        <v>2983.9719999999998</v>
      </c>
      <c r="K39" s="22"/>
    </row>
    <row r="40" spans="1:11" ht="24" customHeight="1">
      <c r="A40" s="22"/>
      <c r="B40" s="23"/>
      <c r="C40" s="26">
        <v>2023</v>
      </c>
      <c r="D40" s="27">
        <f t="shared" si="15"/>
        <v>24055.515699999996</v>
      </c>
      <c r="E40" s="35"/>
      <c r="F40" s="27">
        <f t="shared" si="16"/>
        <v>3480.56578</v>
      </c>
      <c r="G40" s="27">
        <f>'подпр Физ и спорт'!H188</f>
        <v>0</v>
      </c>
      <c r="H40" s="27">
        <f>'подпр Физ и спорт'!I188</f>
        <v>3480.56578</v>
      </c>
      <c r="I40" s="27">
        <f>'подпр Физ и спорт'!O188</f>
        <v>16952.737989999994</v>
      </c>
      <c r="J40" s="27">
        <f>'подпр Физ и спорт'!P178</f>
        <v>3622.21193</v>
      </c>
      <c r="K40" s="22"/>
    </row>
    <row r="41" spans="1:11" ht="24" customHeight="1">
      <c r="A41" s="22"/>
      <c r="B41" s="23"/>
      <c r="C41" s="26">
        <v>2024</v>
      </c>
      <c r="D41" s="27">
        <f t="shared" si="15"/>
        <v>18083.945</v>
      </c>
      <c r="E41" s="35"/>
      <c r="F41" s="27">
        <f t="shared" si="16"/>
        <v>794.5</v>
      </c>
      <c r="G41" s="27">
        <f>'подпр Физ и спорт'!H189</f>
        <v>0</v>
      </c>
      <c r="H41" s="27">
        <f>'подпр Физ и спорт'!I189</f>
        <v>794.5</v>
      </c>
      <c r="I41" s="27">
        <f>'подпр Физ и спорт'!O189</f>
        <v>15089.445</v>
      </c>
      <c r="J41" s="27">
        <f>'подпр Физ и спорт'!P179</f>
        <v>2200</v>
      </c>
      <c r="K41" s="22"/>
    </row>
    <row r="42" spans="1:11" ht="24" customHeight="1">
      <c r="A42" s="22"/>
      <c r="B42" s="23"/>
      <c r="C42" s="26">
        <v>2025</v>
      </c>
      <c r="D42" s="27">
        <f t="shared" si="15"/>
        <v>18050.835</v>
      </c>
      <c r="E42" s="35"/>
      <c r="F42" s="27">
        <f t="shared" si="16"/>
        <v>794.5</v>
      </c>
      <c r="G42" s="27">
        <f>'подпр Физ и спорт'!H190</f>
        <v>0</v>
      </c>
      <c r="H42" s="27">
        <f>'подпр Физ и спорт'!I190</f>
        <v>794.5</v>
      </c>
      <c r="I42" s="27">
        <f>'подпр Физ и спорт'!O190</f>
        <v>15056.335</v>
      </c>
      <c r="J42" s="27">
        <f>'подпр Физ и спорт'!P180</f>
        <v>2200</v>
      </c>
      <c r="K42" s="22"/>
    </row>
    <row r="43" spans="1:11" ht="18" customHeight="1">
      <c r="A43" s="22"/>
      <c r="B43" s="28" t="s">
        <v>29</v>
      </c>
      <c r="C43" s="29" t="s">
        <v>23</v>
      </c>
      <c r="D43" s="30">
        <f>SUM(D34:D42)</f>
        <v>121371.03824</v>
      </c>
      <c r="E43" s="30">
        <f>SUM(E34:E42)</f>
        <v>0</v>
      </c>
      <c r="F43" s="30">
        <f>SUM(F34:F42)</f>
        <v>18962.13278</v>
      </c>
      <c r="G43" s="30">
        <f>SUM(G34:G42)</f>
        <v>7755.9</v>
      </c>
      <c r="H43" s="30">
        <f>SUM(H34:H42)</f>
        <v>11206.232780000002</v>
      </c>
      <c r="I43" s="30">
        <f>SUM(I34:I42)</f>
        <v>89202.72152999998</v>
      </c>
      <c r="J43" s="30">
        <f>SUM(J34:J42)</f>
        <v>13206.18393</v>
      </c>
      <c r="K43" s="22"/>
    </row>
    <row r="44" spans="1:11" ht="18" customHeight="1">
      <c r="A44" s="36" t="s">
        <v>30</v>
      </c>
      <c r="B44" s="37" t="s">
        <v>31</v>
      </c>
      <c r="C44" s="38">
        <v>2017</v>
      </c>
      <c r="D44" s="25">
        <f>I44</f>
        <v>13.1</v>
      </c>
      <c r="E44" s="31"/>
      <c r="F44" s="31"/>
      <c r="G44" s="31"/>
      <c r="H44" s="31"/>
      <c r="I44" s="25">
        <f>'подпр Прав культ'!I107</f>
        <v>13.1</v>
      </c>
      <c r="J44" s="31"/>
      <c r="K44" s="39" t="s">
        <v>21</v>
      </c>
    </row>
    <row r="45" spans="1:11" ht="14.25" customHeight="1">
      <c r="A45" s="36"/>
      <c r="B45" s="37"/>
      <c r="C45" s="40">
        <v>2018</v>
      </c>
      <c r="D45" s="41">
        <f>H45+I45</f>
        <v>7.25</v>
      </c>
      <c r="E45" s="42"/>
      <c r="F45" s="42"/>
      <c r="G45" s="42"/>
      <c r="H45" s="42"/>
      <c r="I45" s="41">
        <f>'подпр Прав культ'!I108</f>
        <v>7.25</v>
      </c>
      <c r="J45" s="42"/>
      <c r="K45" s="39"/>
    </row>
    <row r="46" spans="1:11" ht="15">
      <c r="A46" s="36"/>
      <c r="B46" s="37"/>
      <c r="C46" s="43">
        <v>2019</v>
      </c>
      <c r="D46" s="44">
        <f>'подпр Прав культ'!I109</f>
        <v>13.1</v>
      </c>
      <c r="E46" s="45"/>
      <c r="F46" s="45"/>
      <c r="G46" s="45"/>
      <c r="H46" s="45"/>
      <c r="I46" s="44">
        <f>D46</f>
        <v>13.1</v>
      </c>
      <c r="J46" s="45"/>
      <c r="K46" s="39"/>
    </row>
    <row r="47" spans="1:11" ht="18" customHeight="1">
      <c r="A47" s="36"/>
      <c r="B47" s="37"/>
      <c r="C47" s="43">
        <v>2020</v>
      </c>
      <c r="D47" s="44">
        <f>'подпр Прав культ'!I110</f>
        <v>10.807</v>
      </c>
      <c r="E47" s="45"/>
      <c r="F47" s="45"/>
      <c r="G47" s="45"/>
      <c r="H47" s="45"/>
      <c r="I47" s="44">
        <f>'подпр Прав культ'!I110</f>
        <v>10.807</v>
      </c>
      <c r="J47" s="45"/>
      <c r="K47" s="39"/>
    </row>
    <row r="48" spans="1:11" ht="18" customHeight="1">
      <c r="A48" s="36"/>
      <c r="B48" s="37"/>
      <c r="C48" s="43">
        <v>2021</v>
      </c>
      <c r="D48" s="44">
        <f aca="true" t="shared" si="17" ref="D48:D52">I48</f>
        <v>6.4990000000000006</v>
      </c>
      <c r="E48" s="45"/>
      <c r="F48" s="45"/>
      <c r="G48" s="45"/>
      <c r="H48" s="45"/>
      <c r="I48" s="44">
        <f>'подпр Прав культ'!I111</f>
        <v>6.4990000000000006</v>
      </c>
      <c r="J48" s="45"/>
      <c r="K48" s="39"/>
    </row>
    <row r="49" spans="1:11" ht="18" customHeight="1">
      <c r="A49" s="36"/>
      <c r="B49" s="37"/>
      <c r="C49" s="43">
        <v>2022</v>
      </c>
      <c r="D49" s="44">
        <f t="shared" si="17"/>
        <v>1.5</v>
      </c>
      <c r="E49" s="45"/>
      <c r="F49" s="45"/>
      <c r="G49" s="45"/>
      <c r="H49" s="45"/>
      <c r="I49" s="44">
        <f>'подпр Прав культ'!I112</f>
        <v>1.5</v>
      </c>
      <c r="J49" s="45"/>
      <c r="K49" s="39"/>
    </row>
    <row r="50" spans="1:11" ht="18" customHeight="1">
      <c r="A50" s="36"/>
      <c r="B50" s="37"/>
      <c r="C50" s="46">
        <v>2023</v>
      </c>
      <c r="D50" s="47">
        <f t="shared" si="17"/>
        <v>0</v>
      </c>
      <c r="E50" s="48"/>
      <c r="F50" s="48"/>
      <c r="G50" s="48"/>
      <c r="H50" s="48"/>
      <c r="I50" s="47">
        <f>'подпр Прав культ'!I113</f>
        <v>0</v>
      </c>
      <c r="J50" s="48"/>
      <c r="K50" s="39"/>
    </row>
    <row r="51" spans="1:11" ht="18" customHeight="1">
      <c r="A51" s="36"/>
      <c r="B51" s="37"/>
      <c r="C51" s="46">
        <v>2024</v>
      </c>
      <c r="D51" s="47">
        <f t="shared" si="17"/>
        <v>0</v>
      </c>
      <c r="E51" s="48"/>
      <c r="F51" s="48"/>
      <c r="G51" s="48"/>
      <c r="H51" s="48"/>
      <c r="I51" s="47">
        <f>'подпр Прав культ'!I114</f>
        <v>0</v>
      </c>
      <c r="J51" s="48"/>
      <c r="K51" s="39"/>
    </row>
    <row r="52" spans="1:11" ht="18" customHeight="1">
      <c r="A52" s="36"/>
      <c r="B52" s="37"/>
      <c r="C52" s="46">
        <v>2025</v>
      </c>
      <c r="D52" s="47">
        <f t="shared" si="17"/>
        <v>0</v>
      </c>
      <c r="E52" s="48"/>
      <c r="F52" s="48"/>
      <c r="G52" s="48"/>
      <c r="H52" s="48"/>
      <c r="I52" s="47">
        <f>'подпр Прав культ'!I115</f>
        <v>0</v>
      </c>
      <c r="J52" s="48"/>
      <c r="K52" s="39"/>
    </row>
    <row r="53" spans="1:11" ht="16.5" customHeight="1">
      <c r="A53" s="36"/>
      <c r="B53" s="49" t="s">
        <v>29</v>
      </c>
      <c r="C53" s="50" t="s">
        <v>23</v>
      </c>
      <c r="D53" s="50">
        <f>SUM(D44:D52)</f>
        <v>52.25600000000001</v>
      </c>
      <c r="E53" s="50"/>
      <c r="F53" s="50"/>
      <c r="G53" s="50"/>
      <c r="H53" s="50"/>
      <c r="I53" s="50">
        <f>SUM(I44:I52)</f>
        <v>52.25600000000001</v>
      </c>
      <c r="J53" s="50"/>
      <c r="K53" s="39"/>
    </row>
    <row r="54" spans="1:11" ht="16.5" customHeight="1">
      <c r="A54" s="51" t="s">
        <v>32</v>
      </c>
      <c r="B54" s="52" t="s">
        <v>33</v>
      </c>
      <c r="C54" s="53">
        <v>2020</v>
      </c>
      <c r="D54" s="51">
        <f aca="true" t="shared" si="18" ref="D54:D59">I54</f>
        <v>6.14</v>
      </c>
      <c r="E54" s="51"/>
      <c r="F54" s="51"/>
      <c r="G54" s="51"/>
      <c r="H54" s="51"/>
      <c r="I54" s="51">
        <f>'нац политика'!I17</f>
        <v>6.14</v>
      </c>
      <c r="J54" s="54"/>
      <c r="K54" s="55" t="s">
        <v>21</v>
      </c>
    </row>
    <row r="55" spans="1:11" ht="21" customHeight="1">
      <c r="A55" s="51"/>
      <c r="B55" s="52"/>
      <c r="C55" s="56">
        <v>2021</v>
      </c>
      <c r="D55" s="57">
        <f t="shared" si="18"/>
        <v>104</v>
      </c>
      <c r="E55" s="57"/>
      <c r="F55" s="57"/>
      <c r="G55" s="57"/>
      <c r="H55" s="57"/>
      <c r="I55" s="57">
        <f>'нац политика'!I18</f>
        <v>104</v>
      </c>
      <c r="J55" s="58"/>
      <c r="K55" s="55"/>
    </row>
    <row r="56" spans="1:11" ht="18.75" customHeight="1">
      <c r="A56" s="51"/>
      <c r="B56" s="52"/>
      <c r="C56" s="59">
        <v>2022</v>
      </c>
      <c r="D56" s="60">
        <f t="shared" si="18"/>
        <v>1837.98478</v>
      </c>
      <c r="E56" s="60"/>
      <c r="F56" s="60"/>
      <c r="G56" s="60"/>
      <c r="H56" s="60"/>
      <c r="I56" s="60">
        <f>'нац политика'!I19</f>
        <v>1837.98478</v>
      </c>
      <c r="J56" s="61"/>
      <c r="K56" s="55"/>
    </row>
    <row r="57" spans="1:11" ht="15.75" customHeight="1">
      <c r="A57" s="51"/>
      <c r="B57" s="52"/>
      <c r="C57" s="59">
        <v>2023</v>
      </c>
      <c r="D57" s="60">
        <f t="shared" si="18"/>
        <v>676.34895</v>
      </c>
      <c r="E57" s="60"/>
      <c r="F57" s="60"/>
      <c r="G57" s="60"/>
      <c r="H57" s="60"/>
      <c r="I57" s="60">
        <f>'нац политика'!D56</f>
        <v>676.34895</v>
      </c>
      <c r="J57" s="61"/>
      <c r="K57" s="55"/>
    </row>
    <row r="58" spans="1:11" ht="15" customHeight="1">
      <c r="A58" s="51"/>
      <c r="B58" s="52"/>
      <c r="C58" s="59">
        <v>2024</v>
      </c>
      <c r="D58" s="60">
        <f t="shared" si="18"/>
        <v>0</v>
      </c>
      <c r="E58" s="60"/>
      <c r="F58" s="60"/>
      <c r="G58" s="60"/>
      <c r="H58" s="60"/>
      <c r="I58" s="60">
        <f>'нац политика'!I57</f>
        <v>0</v>
      </c>
      <c r="J58" s="61"/>
      <c r="K58" s="55"/>
    </row>
    <row r="59" spans="1:11" ht="15" customHeight="1">
      <c r="A59" s="51"/>
      <c r="B59" s="52"/>
      <c r="C59" s="59">
        <v>2025</v>
      </c>
      <c r="D59" s="60">
        <f t="shared" si="18"/>
        <v>0</v>
      </c>
      <c r="E59" s="60"/>
      <c r="F59" s="60"/>
      <c r="G59" s="60"/>
      <c r="H59" s="60"/>
      <c r="I59" s="60">
        <f>'нац политика'!I58</f>
        <v>0</v>
      </c>
      <c r="J59" s="61"/>
      <c r="K59" s="55"/>
    </row>
    <row r="60" spans="1:11" ht="16.5" customHeight="1">
      <c r="A60" s="51"/>
      <c r="B60" s="62" t="s">
        <v>29</v>
      </c>
      <c r="C60" s="63" t="s">
        <v>34</v>
      </c>
      <c r="D60" s="63">
        <f>SUM(D54:D59)</f>
        <v>2624.4737299999997</v>
      </c>
      <c r="E60" s="63"/>
      <c r="F60" s="63"/>
      <c r="G60" s="63"/>
      <c r="H60" s="63"/>
      <c r="I60" s="63">
        <f>SUM(I54:I59)</f>
        <v>2624.4737299999997</v>
      </c>
      <c r="J60" s="64"/>
      <c r="K60" s="55"/>
    </row>
    <row r="61" spans="2:10" ht="14.25">
      <c r="B61" s="65"/>
      <c r="C61" s="65"/>
      <c r="D61" s="65"/>
      <c r="E61" s="65"/>
      <c r="F61" s="65"/>
      <c r="G61" s="65"/>
      <c r="H61" s="65"/>
      <c r="I61" s="65"/>
      <c r="J61" s="65"/>
    </row>
    <row r="62" spans="2:10" ht="14.25">
      <c r="B62" s="65"/>
      <c r="C62" s="65"/>
      <c r="D62" s="65"/>
      <c r="E62" s="65"/>
      <c r="F62" s="65"/>
      <c r="G62" s="65"/>
      <c r="H62" s="65"/>
      <c r="I62" s="65"/>
      <c r="J62" s="65"/>
    </row>
    <row r="63" spans="2:10" ht="14.25">
      <c r="B63" s="65"/>
      <c r="C63" s="65"/>
      <c r="D63" s="65"/>
      <c r="E63" s="65"/>
      <c r="F63" s="65"/>
      <c r="G63" s="65"/>
      <c r="H63" s="65"/>
      <c r="I63" s="65"/>
      <c r="J63" s="65"/>
    </row>
    <row r="64" spans="2:10" ht="14.25">
      <c r="B64" s="65"/>
      <c r="C64" s="65"/>
      <c r="D64" s="65"/>
      <c r="E64" s="65"/>
      <c r="F64" s="65"/>
      <c r="G64" s="65"/>
      <c r="H64" s="65"/>
      <c r="I64" s="65"/>
      <c r="J64" s="65"/>
    </row>
    <row r="65" spans="2:10" ht="14.25">
      <c r="B65" s="65"/>
      <c r="C65" s="65"/>
      <c r="D65" s="65"/>
      <c r="E65" s="65"/>
      <c r="F65" s="65"/>
      <c r="G65" s="65"/>
      <c r="H65" s="65"/>
      <c r="I65" s="65"/>
      <c r="J65" s="65"/>
    </row>
    <row r="66" spans="2:10" ht="14.25">
      <c r="B66" s="65"/>
      <c r="C66" s="65"/>
      <c r="D66" s="65"/>
      <c r="E66" s="65"/>
      <c r="F66" s="65"/>
      <c r="G66" s="65"/>
      <c r="H66" s="65"/>
      <c r="I66" s="65"/>
      <c r="J66" s="65"/>
    </row>
    <row r="67" spans="2:10" ht="14.25">
      <c r="B67" s="65"/>
      <c r="C67" s="65"/>
      <c r="D67" s="65"/>
      <c r="E67" s="65"/>
      <c r="F67" s="65"/>
      <c r="G67" s="65"/>
      <c r="H67" s="65"/>
      <c r="I67" s="65"/>
      <c r="J67" s="65"/>
    </row>
    <row r="68" spans="2:10" ht="14.25">
      <c r="B68" s="65"/>
      <c r="C68" s="65"/>
      <c r="D68" s="65"/>
      <c r="E68" s="65"/>
      <c r="F68" s="65"/>
      <c r="G68" s="65"/>
      <c r="H68" s="65"/>
      <c r="I68" s="65"/>
      <c r="J68" s="65"/>
    </row>
    <row r="69" spans="2:10" ht="14.25">
      <c r="B69" s="65"/>
      <c r="C69" s="65"/>
      <c r="D69" s="65"/>
      <c r="E69" s="65"/>
      <c r="F69" s="65"/>
      <c r="G69" s="65"/>
      <c r="H69" s="65"/>
      <c r="I69" s="65"/>
      <c r="J69" s="65"/>
    </row>
    <row r="70" spans="2:10" ht="14.25">
      <c r="B70" s="65"/>
      <c r="C70" s="65"/>
      <c r="D70" s="65"/>
      <c r="E70" s="65"/>
      <c r="F70" s="65"/>
      <c r="G70" s="65"/>
      <c r="H70" s="65"/>
      <c r="I70" s="65"/>
      <c r="J70" s="65"/>
    </row>
    <row r="71" spans="2:10" ht="14.25">
      <c r="B71" s="65"/>
      <c r="C71" s="65"/>
      <c r="D71" s="65"/>
      <c r="E71" s="65"/>
      <c r="F71" s="65"/>
      <c r="G71" s="65"/>
      <c r="H71" s="65"/>
      <c r="I71" s="65"/>
      <c r="J71" s="65"/>
    </row>
    <row r="72" spans="2:10" ht="14.25">
      <c r="B72" s="65"/>
      <c r="C72" s="65"/>
      <c r="D72" s="65"/>
      <c r="E72" s="65"/>
      <c r="F72" s="65"/>
      <c r="G72" s="65"/>
      <c r="H72" s="65"/>
      <c r="I72" s="65"/>
      <c r="J72" s="65"/>
    </row>
    <row r="73" spans="2:10" ht="14.25">
      <c r="B73" s="65"/>
      <c r="C73" s="65"/>
      <c r="D73" s="65"/>
      <c r="E73" s="65"/>
      <c r="F73" s="65"/>
      <c r="G73" s="65"/>
      <c r="H73" s="65"/>
      <c r="I73" s="65"/>
      <c r="J73" s="65"/>
    </row>
    <row r="74" spans="2:10" ht="14.25">
      <c r="B74" s="65"/>
      <c r="C74" s="65"/>
      <c r="D74" s="65"/>
      <c r="E74" s="65"/>
      <c r="F74" s="65"/>
      <c r="G74" s="65"/>
      <c r="H74" s="65"/>
      <c r="I74" s="65"/>
      <c r="J74" s="65"/>
    </row>
    <row r="75" spans="2:10" ht="14.25">
      <c r="B75" s="65"/>
      <c r="C75" s="65"/>
      <c r="D75" s="65"/>
      <c r="E75" s="65"/>
      <c r="F75" s="65"/>
      <c r="G75" s="65"/>
      <c r="H75" s="65"/>
      <c r="I75" s="65"/>
      <c r="J75" s="65"/>
    </row>
    <row r="76" spans="2:10" ht="14.25">
      <c r="B76" s="65"/>
      <c r="C76" s="65"/>
      <c r="D76" s="65"/>
      <c r="E76" s="65"/>
      <c r="F76" s="65"/>
      <c r="G76" s="65"/>
      <c r="H76" s="65"/>
      <c r="I76" s="65"/>
      <c r="J76" s="65"/>
    </row>
    <row r="77" spans="2:10" ht="14.25">
      <c r="B77" s="65"/>
      <c r="C77" s="65"/>
      <c r="D77" s="65"/>
      <c r="E77" s="65"/>
      <c r="F77" s="65"/>
      <c r="G77" s="65"/>
      <c r="H77" s="65"/>
      <c r="I77" s="65"/>
      <c r="J77" s="65"/>
    </row>
    <row r="78" spans="2:10" ht="14.25">
      <c r="B78" s="65"/>
      <c r="C78" s="65"/>
      <c r="D78" s="65"/>
      <c r="E78" s="65"/>
      <c r="F78" s="65"/>
      <c r="G78" s="65"/>
      <c r="H78" s="65"/>
      <c r="I78" s="65"/>
      <c r="J78" s="65"/>
    </row>
    <row r="79" spans="2:10" ht="14.25">
      <c r="B79" s="65"/>
      <c r="C79" s="65"/>
      <c r="D79" s="65"/>
      <c r="E79" s="65"/>
      <c r="F79" s="65"/>
      <c r="G79" s="65"/>
      <c r="H79" s="65"/>
      <c r="I79" s="65"/>
      <c r="J79" s="65"/>
    </row>
    <row r="80" spans="2:10" ht="14.25">
      <c r="B80" s="65"/>
      <c r="C80" s="65"/>
      <c r="D80" s="65"/>
      <c r="E80" s="65"/>
      <c r="F80" s="65"/>
      <c r="G80" s="65"/>
      <c r="H80" s="65"/>
      <c r="I80" s="65"/>
      <c r="J80" s="65"/>
    </row>
    <row r="81" spans="2:10" ht="14.25">
      <c r="B81" s="65"/>
      <c r="C81" s="65"/>
      <c r="D81" s="65"/>
      <c r="E81" s="65"/>
      <c r="F81" s="65"/>
      <c r="G81" s="65"/>
      <c r="H81" s="65"/>
      <c r="I81" s="65"/>
      <c r="J81" s="65"/>
    </row>
    <row r="82" spans="2:10" ht="14.25">
      <c r="B82" s="65"/>
      <c r="C82" s="65"/>
      <c r="D82" s="65"/>
      <c r="E82" s="65"/>
      <c r="F82" s="65"/>
      <c r="G82" s="65"/>
      <c r="H82" s="65"/>
      <c r="I82" s="65"/>
      <c r="J82" s="65"/>
    </row>
  </sheetData>
  <sheetProtection selectLockedCells="1" selectUnlockedCells="1"/>
  <mergeCells count="32">
    <mergeCell ref="K1:L1"/>
    <mergeCell ref="A2:L2"/>
    <mergeCell ref="J3:L3"/>
    <mergeCell ref="J4:L4"/>
    <mergeCell ref="K5:L5"/>
    <mergeCell ref="A8:A10"/>
    <mergeCell ref="B8:B10"/>
    <mergeCell ref="C8:C10"/>
    <mergeCell ref="E8:I8"/>
    <mergeCell ref="J8:J12"/>
    <mergeCell ref="K8:K10"/>
    <mergeCell ref="E9:E12"/>
    <mergeCell ref="F9:I9"/>
    <mergeCell ref="F10:H10"/>
    <mergeCell ref="I10:I12"/>
    <mergeCell ref="F11:F12"/>
    <mergeCell ref="G11:H11"/>
    <mergeCell ref="A14:A23"/>
    <mergeCell ref="B14:B22"/>
    <mergeCell ref="K14:K23"/>
    <mergeCell ref="A24:A33"/>
    <mergeCell ref="B24:B32"/>
    <mergeCell ref="K24:K33"/>
    <mergeCell ref="A34:A43"/>
    <mergeCell ref="B34:B42"/>
    <mergeCell ref="K34:K43"/>
    <mergeCell ref="A44:A53"/>
    <mergeCell ref="B44:B52"/>
    <mergeCell ref="K44:K53"/>
    <mergeCell ref="A54:A60"/>
    <mergeCell ref="B54:B59"/>
    <mergeCell ref="K54:K60"/>
  </mergeCells>
  <printOptions/>
  <pageMargins left="0.7083333333333334" right="0.7083333333333334" top="0.3541666666666667" bottom="0.7479166666666667" header="0.5118055555555555" footer="0.5118055555555555"/>
  <pageSetup fitToHeight="2" fitToWidth="1" horizontalDpi="300" verticalDpi="300" orientation="landscape" paperSize="9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91"/>
  <sheetViews>
    <sheetView view="pageBreakPreview" zoomScale="70" zoomScaleSheetLayoutView="70" workbookViewId="0" topLeftCell="A820">
      <selection activeCell="K815" sqref="K815"/>
    </sheetView>
  </sheetViews>
  <sheetFormatPr defaultColWidth="9.140625" defaultRowHeight="15"/>
  <cols>
    <col min="1" max="1" width="12.421875" style="0" customWidth="1"/>
    <col min="2" max="2" width="39.8515625" style="0" customWidth="1"/>
    <col min="3" max="3" width="11.421875" style="0" customWidth="1"/>
    <col min="4" max="4" width="18.421875" style="66" customWidth="1"/>
    <col min="5" max="5" width="11.8515625" style="0" customWidth="1"/>
    <col min="6" max="6" width="13.8515625" style="0" customWidth="1"/>
    <col min="7" max="7" width="11.57421875" style="0" customWidth="1"/>
    <col min="8" max="8" width="17.421875" style="67" customWidth="1"/>
    <col min="9" max="9" width="17.7109375" style="0" customWidth="1"/>
    <col min="10" max="10" width="12.7109375" style="0" customWidth="1"/>
    <col min="11" max="11" width="24.7109375" style="0" customWidth="1"/>
    <col min="12" max="12" width="26.7109375" style="0" customWidth="1"/>
    <col min="13" max="13" width="3.28125" style="0" customWidth="1"/>
  </cols>
  <sheetData>
    <row r="1" spans="1:23" ht="14.25">
      <c r="A1" s="65"/>
      <c r="B1" s="65"/>
      <c r="C1" s="68"/>
      <c r="D1" s="68"/>
      <c r="E1" s="68"/>
      <c r="F1" s="68"/>
      <c r="G1" s="68"/>
      <c r="H1" s="68"/>
      <c r="I1" s="68"/>
      <c r="J1" s="68"/>
      <c r="K1" s="69"/>
      <c r="L1" s="69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</row>
    <row r="2" spans="1:23" ht="14.25">
      <c r="A2" s="65"/>
      <c r="B2" s="65"/>
      <c r="C2" s="68"/>
      <c r="D2" s="68"/>
      <c r="E2" s="68"/>
      <c r="F2" s="68"/>
      <c r="G2" s="68"/>
      <c r="H2" s="68"/>
      <c r="I2" s="68"/>
      <c r="J2" s="68"/>
      <c r="K2" s="69" t="s">
        <v>35</v>
      </c>
      <c r="L2" s="69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</row>
    <row r="3" spans="1:23" ht="14.2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K3" s="69" t="s">
        <v>36</v>
      </c>
      <c r="L3" s="69"/>
      <c r="M3" s="72"/>
      <c r="N3" s="70"/>
      <c r="O3" s="70"/>
      <c r="P3" s="70"/>
      <c r="Q3" s="70"/>
      <c r="R3" s="70"/>
      <c r="S3" s="70"/>
      <c r="T3" s="70"/>
      <c r="U3" s="70"/>
      <c r="V3" s="70"/>
      <c r="W3" s="70"/>
    </row>
    <row r="4" spans="1:12" ht="14.25">
      <c r="A4" s="73"/>
      <c r="B4" s="73"/>
      <c r="C4" s="73"/>
      <c r="D4" s="74"/>
      <c r="E4" s="73"/>
      <c r="F4" s="73"/>
      <c r="G4" s="73"/>
      <c r="H4" s="75"/>
      <c r="I4" s="73"/>
      <c r="J4" s="73"/>
      <c r="K4" s="68"/>
      <c r="L4" s="68"/>
    </row>
    <row r="5" spans="1:12" ht="14.25">
      <c r="A5" s="73"/>
      <c r="B5" s="73"/>
      <c r="C5" s="73"/>
      <c r="D5" s="74"/>
      <c r="E5" s="73"/>
      <c r="F5" s="73"/>
      <c r="G5" s="73"/>
      <c r="H5" s="75"/>
      <c r="I5" s="73"/>
      <c r="J5" s="73"/>
      <c r="K5" s="68"/>
      <c r="L5" s="68"/>
    </row>
    <row r="6" spans="1:12" ht="19.5" customHeight="1">
      <c r="A6" s="76" t="s">
        <v>37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9.5" customHeight="1">
      <c r="A7" s="77" t="s">
        <v>38</v>
      </c>
      <c r="B7" s="77" t="s">
        <v>39</v>
      </c>
      <c r="C7" s="77" t="s">
        <v>6</v>
      </c>
      <c r="D7" s="78" t="s">
        <v>40</v>
      </c>
      <c r="E7" s="77" t="s">
        <v>41</v>
      </c>
      <c r="F7" s="77"/>
      <c r="G7" s="77"/>
      <c r="H7" s="77"/>
      <c r="I7" s="77"/>
      <c r="J7" s="79" t="s">
        <v>42</v>
      </c>
      <c r="K7" s="79" t="s">
        <v>43</v>
      </c>
      <c r="L7" s="79" t="s">
        <v>44</v>
      </c>
    </row>
    <row r="8" spans="1:12" ht="19.5" customHeight="1">
      <c r="A8" s="77"/>
      <c r="B8" s="77"/>
      <c r="C8" s="77"/>
      <c r="D8" s="78"/>
      <c r="E8" s="77"/>
      <c r="F8" s="77" t="s">
        <v>12</v>
      </c>
      <c r="G8" s="77"/>
      <c r="H8" s="77"/>
      <c r="I8" s="77"/>
      <c r="J8" s="79"/>
      <c r="K8" s="79"/>
      <c r="L8" s="79"/>
    </row>
    <row r="9" spans="1:12" ht="19.5" customHeight="1">
      <c r="A9" s="77"/>
      <c r="B9" s="77"/>
      <c r="C9" s="77"/>
      <c r="D9" s="78"/>
      <c r="E9" s="77" t="s">
        <v>45</v>
      </c>
      <c r="F9" s="77" t="s">
        <v>46</v>
      </c>
      <c r="G9" s="77"/>
      <c r="H9" s="77"/>
      <c r="I9" s="77" t="s">
        <v>47</v>
      </c>
      <c r="J9" s="79"/>
      <c r="K9" s="79"/>
      <c r="L9" s="79"/>
    </row>
    <row r="10" spans="1:12" ht="19.5" customHeight="1">
      <c r="A10" s="77"/>
      <c r="B10" s="77"/>
      <c r="C10" s="77"/>
      <c r="D10" s="78"/>
      <c r="E10" s="77"/>
      <c r="F10" s="77" t="s">
        <v>15</v>
      </c>
      <c r="G10" s="77" t="s">
        <v>16</v>
      </c>
      <c r="H10" s="77"/>
      <c r="I10" s="77"/>
      <c r="J10" s="79"/>
      <c r="K10" s="79"/>
      <c r="L10" s="79"/>
    </row>
    <row r="11" spans="1:12" ht="56.25" customHeight="1">
      <c r="A11" s="77"/>
      <c r="B11" s="77"/>
      <c r="C11" s="77"/>
      <c r="D11" s="78"/>
      <c r="E11" s="77"/>
      <c r="F11" s="77"/>
      <c r="G11" s="77" t="s">
        <v>17</v>
      </c>
      <c r="H11" s="80" t="s">
        <v>48</v>
      </c>
      <c r="I11" s="77"/>
      <c r="J11" s="79"/>
      <c r="K11" s="79"/>
      <c r="L11" s="79"/>
    </row>
    <row r="12" spans="1:12" ht="19.5" customHeight="1">
      <c r="A12" s="77">
        <v>1</v>
      </c>
      <c r="B12" s="77">
        <v>2</v>
      </c>
      <c r="C12" s="77">
        <v>3</v>
      </c>
      <c r="D12" s="81">
        <v>4</v>
      </c>
      <c r="E12" s="77">
        <v>5</v>
      </c>
      <c r="F12" s="77">
        <v>6</v>
      </c>
      <c r="G12" s="77">
        <v>7</v>
      </c>
      <c r="H12" s="82">
        <v>8</v>
      </c>
      <c r="I12" s="77">
        <v>9</v>
      </c>
      <c r="J12" s="77">
        <v>10</v>
      </c>
      <c r="K12" s="77">
        <v>11</v>
      </c>
      <c r="L12" s="77">
        <v>12</v>
      </c>
    </row>
    <row r="13" spans="1:12" ht="19.5" customHeight="1">
      <c r="A13" s="83" t="s">
        <v>49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</row>
    <row r="14" spans="1:12" ht="19.5" customHeight="1">
      <c r="A14" s="84" t="s">
        <v>50</v>
      </c>
      <c r="B14" s="85" t="s">
        <v>51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2" ht="19.5" customHeight="1">
      <c r="A15" s="84" t="s">
        <v>52</v>
      </c>
      <c r="B15" s="85" t="s">
        <v>53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6" spans="1:12" s="65" customFormat="1" ht="19.5" customHeight="1">
      <c r="A16" s="86" t="s">
        <v>24</v>
      </c>
      <c r="B16" s="86" t="s">
        <v>54</v>
      </c>
      <c r="C16" s="87">
        <v>2017</v>
      </c>
      <c r="D16" s="86">
        <f aca="true" t="shared" si="0" ref="D16:D30">E16+F16+I16</f>
        <v>50</v>
      </c>
      <c r="E16" s="86">
        <v>0</v>
      </c>
      <c r="F16" s="86">
        <f aca="true" t="shared" si="1" ref="F16:F24">G16+H16</f>
        <v>0</v>
      </c>
      <c r="G16" s="86">
        <v>0</v>
      </c>
      <c r="H16" s="86">
        <v>0</v>
      </c>
      <c r="I16" s="86">
        <v>50</v>
      </c>
      <c r="J16" s="88"/>
      <c r="K16" s="86" t="s">
        <v>55</v>
      </c>
      <c r="L16" s="86" t="s">
        <v>56</v>
      </c>
    </row>
    <row r="17" spans="1:12" s="65" customFormat="1" ht="19.5" customHeight="1">
      <c r="A17" s="86"/>
      <c r="B17" s="86"/>
      <c r="C17" s="82">
        <v>2018</v>
      </c>
      <c r="D17" s="86">
        <f t="shared" si="0"/>
        <v>50</v>
      </c>
      <c r="E17" s="86">
        <v>0</v>
      </c>
      <c r="F17" s="86">
        <f t="shared" si="1"/>
        <v>0</v>
      </c>
      <c r="G17" s="86">
        <v>0</v>
      </c>
      <c r="H17" s="86">
        <v>0</v>
      </c>
      <c r="I17" s="86">
        <v>50</v>
      </c>
      <c r="J17" s="88"/>
      <c r="K17" s="86"/>
      <c r="L17" s="86"/>
    </row>
    <row r="18" spans="1:12" s="65" customFormat="1" ht="19.5" customHeight="1">
      <c r="A18" s="86"/>
      <c r="B18" s="86"/>
      <c r="C18" s="89">
        <v>2019</v>
      </c>
      <c r="D18" s="86">
        <f t="shared" si="0"/>
        <v>52.52636</v>
      </c>
      <c r="E18" s="90">
        <v>0</v>
      </c>
      <c r="F18" s="86">
        <f t="shared" si="1"/>
        <v>0</v>
      </c>
      <c r="G18" s="86">
        <v>0</v>
      </c>
      <c r="H18" s="90">
        <v>0</v>
      </c>
      <c r="I18" s="90">
        <f>50+2.52636</f>
        <v>52.52636</v>
      </c>
      <c r="J18" s="91"/>
      <c r="K18" s="86"/>
      <c r="L18" s="86"/>
    </row>
    <row r="19" spans="1:12" s="65" customFormat="1" ht="19.5" customHeight="1">
      <c r="A19" s="86"/>
      <c r="B19" s="86"/>
      <c r="C19" s="82">
        <v>2020</v>
      </c>
      <c r="D19" s="86">
        <f t="shared" si="0"/>
        <v>0</v>
      </c>
      <c r="E19" s="86">
        <v>0</v>
      </c>
      <c r="F19" s="86">
        <f t="shared" si="1"/>
        <v>0</v>
      </c>
      <c r="G19" s="86">
        <v>0</v>
      </c>
      <c r="H19" s="86">
        <v>0</v>
      </c>
      <c r="I19" s="86">
        <v>0</v>
      </c>
      <c r="J19" s="88"/>
      <c r="K19" s="86"/>
      <c r="L19" s="86"/>
    </row>
    <row r="20" spans="1:12" s="65" customFormat="1" ht="19.5" customHeight="1">
      <c r="A20" s="86"/>
      <c r="B20" s="86"/>
      <c r="C20" s="82">
        <v>2021</v>
      </c>
      <c r="D20" s="86">
        <f t="shared" si="0"/>
        <v>49.999</v>
      </c>
      <c r="E20" s="86">
        <v>0</v>
      </c>
      <c r="F20" s="86">
        <f t="shared" si="1"/>
        <v>0</v>
      </c>
      <c r="G20" s="86">
        <v>0</v>
      </c>
      <c r="H20" s="86">
        <v>0</v>
      </c>
      <c r="I20" s="86">
        <f>50-0.001</f>
        <v>49.999</v>
      </c>
      <c r="J20" s="88"/>
      <c r="K20" s="86"/>
      <c r="L20" s="86"/>
    </row>
    <row r="21" spans="1:12" s="65" customFormat="1" ht="19.5" customHeight="1">
      <c r="A21" s="86"/>
      <c r="B21" s="86"/>
      <c r="C21" s="82">
        <v>2022</v>
      </c>
      <c r="D21" s="86">
        <f t="shared" si="0"/>
        <v>0</v>
      </c>
      <c r="E21" s="86">
        <v>0</v>
      </c>
      <c r="F21" s="86">
        <f t="shared" si="1"/>
        <v>0</v>
      </c>
      <c r="G21" s="86">
        <v>0</v>
      </c>
      <c r="H21" s="86">
        <v>0</v>
      </c>
      <c r="I21" s="86">
        <v>0</v>
      </c>
      <c r="J21" s="88"/>
      <c r="K21" s="86"/>
      <c r="L21" s="86"/>
    </row>
    <row r="22" spans="1:12" s="65" customFormat="1" ht="19.5" customHeight="1">
      <c r="A22" s="86"/>
      <c r="B22" s="86"/>
      <c r="C22" s="82">
        <v>2023</v>
      </c>
      <c r="D22" s="86">
        <f t="shared" si="0"/>
        <v>0</v>
      </c>
      <c r="E22" s="86">
        <v>0</v>
      </c>
      <c r="F22" s="86">
        <f t="shared" si="1"/>
        <v>0</v>
      </c>
      <c r="G22" s="86">
        <v>0</v>
      </c>
      <c r="H22" s="86">
        <v>0</v>
      </c>
      <c r="I22" s="86">
        <v>0</v>
      </c>
      <c r="J22" s="88"/>
      <c r="K22" s="86"/>
      <c r="L22" s="86"/>
    </row>
    <row r="23" spans="1:12" s="65" customFormat="1" ht="19.5" customHeight="1">
      <c r="A23" s="86"/>
      <c r="B23" s="86"/>
      <c r="C23" s="82">
        <v>2024</v>
      </c>
      <c r="D23" s="86">
        <f t="shared" si="0"/>
        <v>0</v>
      </c>
      <c r="E23" s="86">
        <v>0</v>
      </c>
      <c r="F23" s="86">
        <f t="shared" si="1"/>
        <v>0</v>
      </c>
      <c r="G23" s="86">
        <v>0</v>
      </c>
      <c r="H23" s="86">
        <v>0</v>
      </c>
      <c r="I23" s="86">
        <v>0</v>
      </c>
      <c r="J23" s="88"/>
      <c r="K23" s="86"/>
      <c r="L23" s="86"/>
    </row>
    <row r="24" spans="1:12" s="65" customFormat="1" ht="19.5" customHeight="1">
      <c r="A24" s="86"/>
      <c r="B24" s="86"/>
      <c r="C24" s="82">
        <v>2025</v>
      </c>
      <c r="D24" s="86">
        <f t="shared" si="0"/>
        <v>0</v>
      </c>
      <c r="E24" s="86">
        <v>0</v>
      </c>
      <c r="F24" s="86">
        <f t="shared" si="1"/>
        <v>0</v>
      </c>
      <c r="G24" s="86">
        <v>0</v>
      </c>
      <c r="H24" s="86">
        <v>0</v>
      </c>
      <c r="I24" s="86">
        <v>0</v>
      </c>
      <c r="J24" s="88"/>
      <c r="K24" s="86"/>
      <c r="L24" s="86"/>
    </row>
    <row r="25" spans="1:12" s="65" customFormat="1" ht="19.5" customHeight="1">
      <c r="A25" s="86" t="s">
        <v>27</v>
      </c>
      <c r="B25" s="86" t="s">
        <v>57</v>
      </c>
      <c r="C25" s="82">
        <v>2017</v>
      </c>
      <c r="D25" s="86">
        <f t="shared" si="0"/>
        <v>44.99</v>
      </c>
      <c r="E25" s="86">
        <v>0</v>
      </c>
      <c r="F25" s="86"/>
      <c r="G25" s="86"/>
      <c r="H25" s="86">
        <v>0</v>
      </c>
      <c r="I25" s="86">
        <v>44.99</v>
      </c>
      <c r="J25" s="88"/>
      <c r="K25" s="86" t="s">
        <v>55</v>
      </c>
      <c r="L25" s="86"/>
    </row>
    <row r="26" spans="1:12" s="65" customFormat="1" ht="19.5" customHeight="1">
      <c r="A26" s="86"/>
      <c r="B26" s="86"/>
      <c r="C26" s="92">
        <v>2018</v>
      </c>
      <c r="D26" s="86">
        <f t="shared" si="0"/>
        <v>20</v>
      </c>
      <c r="E26" s="86">
        <v>0</v>
      </c>
      <c r="F26" s="86"/>
      <c r="G26" s="86"/>
      <c r="H26" s="86">
        <v>0</v>
      </c>
      <c r="I26" s="86">
        <v>20</v>
      </c>
      <c r="J26" s="93"/>
      <c r="K26" s="86"/>
      <c r="L26" s="86"/>
    </row>
    <row r="27" spans="1:12" s="65" customFormat="1" ht="19.5" customHeight="1">
      <c r="A27" s="86"/>
      <c r="B27" s="86"/>
      <c r="C27" s="94">
        <v>2019</v>
      </c>
      <c r="D27" s="86">
        <f t="shared" si="0"/>
        <v>20</v>
      </c>
      <c r="E27" s="95">
        <v>0</v>
      </c>
      <c r="F27" s="95"/>
      <c r="G27" s="95"/>
      <c r="H27" s="95">
        <v>0</v>
      </c>
      <c r="I27" s="95">
        <v>20</v>
      </c>
      <c r="J27" s="96"/>
      <c r="K27" s="86"/>
      <c r="L27" s="86"/>
    </row>
    <row r="28" spans="1:12" s="65" customFormat="1" ht="19.5" customHeight="1" hidden="1">
      <c r="A28" s="86"/>
      <c r="B28" s="86"/>
      <c r="C28" s="82">
        <v>2020</v>
      </c>
      <c r="D28" s="86">
        <f t="shared" si="0"/>
        <v>16.693</v>
      </c>
      <c r="E28" s="86">
        <v>0</v>
      </c>
      <c r="F28" s="86"/>
      <c r="G28" s="86"/>
      <c r="H28" s="86">
        <v>0</v>
      </c>
      <c r="I28" s="86">
        <f>20-3.307</f>
        <v>16.693</v>
      </c>
      <c r="J28" s="93"/>
      <c r="K28" s="86"/>
      <c r="L28" s="86"/>
    </row>
    <row r="29" spans="1:12" s="65" customFormat="1" ht="0.75" customHeight="1" hidden="1">
      <c r="A29" s="86"/>
      <c r="B29" s="86"/>
      <c r="C29" s="82"/>
      <c r="D29" s="86">
        <f t="shared" si="0"/>
        <v>0</v>
      </c>
      <c r="E29" s="86"/>
      <c r="F29" s="86"/>
      <c r="G29" s="86"/>
      <c r="H29" s="86"/>
      <c r="I29" s="86"/>
      <c r="J29" s="93"/>
      <c r="K29" s="86"/>
      <c r="L29" s="86"/>
    </row>
    <row r="30" spans="1:12" s="65" customFormat="1" ht="19.5" customHeight="1" hidden="1">
      <c r="A30" s="86"/>
      <c r="B30" s="86"/>
      <c r="C30" s="82">
        <v>2021</v>
      </c>
      <c r="D30" s="86">
        <f t="shared" si="0"/>
        <v>10</v>
      </c>
      <c r="E30" s="86">
        <v>0</v>
      </c>
      <c r="F30" s="86"/>
      <c r="G30" s="86"/>
      <c r="H30" s="86">
        <v>0</v>
      </c>
      <c r="I30" s="86">
        <v>10</v>
      </c>
      <c r="J30" s="93"/>
      <c r="K30" s="86"/>
      <c r="L30" s="86"/>
    </row>
    <row r="31" spans="1:12" s="65" customFormat="1" ht="19.5" customHeight="1">
      <c r="A31" s="86"/>
      <c r="B31" s="86"/>
      <c r="C31" s="82">
        <v>2022</v>
      </c>
      <c r="D31" s="86">
        <f aca="true" t="shared" si="2" ref="D31:D35">I31</f>
        <v>9.998</v>
      </c>
      <c r="E31" s="86">
        <v>0</v>
      </c>
      <c r="F31" s="86"/>
      <c r="G31" s="86"/>
      <c r="H31" s="86">
        <v>0</v>
      </c>
      <c r="I31" s="86">
        <v>9.998</v>
      </c>
      <c r="J31" s="93"/>
      <c r="K31" s="86"/>
      <c r="L31" s="86"/>
    </row>
    <row r="32" spans="1:12" s="65" customFormat="1" ht="19.5" customHeight="1">
      <c r="A32" s="86"/>
      <c r="B32" s="86"/>
      <c r="C32" s="82">
        <v>2023</v>
      </c>
      <c r="D32" s="86">
        <f t="shared" si="2"/>
        <v>0</v>
      </c>
      <c r="E32" s="86">
        <v>0</v>
      </c>
      <c r="F32" s="86"/>
      <c r="G32" s="86"/>
      <c r="H32" s="86">
        <v>0</v>
      </c>
      <c r="I32" s="86">
        <v>0</v>
      </c>
      <c r="J32" s="93"/>
      <c r="K32" s="86"/>
      <c r="L32" s="86"/>
    </row>
    <row r="33" spans="1:12" s="65" customFormat="1" ht="19.5" customHeight="1">
      <c r="A33" s="86"/>
      <c r="B33" s="86"/>
      <c r="C33" s="82">
        <v>2024</v>
      </c>
      <c r="D33" s="86">
        <f t="shared" si="2"/>
        <v>0</v>
      </c>
      <c r="E33" s="86">
        <v>0</v>
      </c>
      <c r="F33" s="86"/>
      <c r="G33" s="86"/>
      <c r="H33" s="86">
        <v>0</v>
      </c>
      <c r="I33" s="86">
        <v>0</v>
      </c>
      <c r="J33" s="93"/>
      <c r="K33" s="86"/>
      <c r="L33" s="86"/>
    </row>
    <row r="34" spans="1:12" s="65" customFormat="1" ht="19.5" customHeight="1">
      <c r="A34" s="86"/>
      <c r="B34" s="86"/>
      <c r="C34" s="82">
        <v>2025</v>
      </c>
      <c r="D34" s="86">
        <f t="shared" si="2"/>
        <v>0</v>
      </c>
      <c r="E34" s="86">
        <v>0</v>
      </c>
      <c r="F34" s="86"/>
      <c r="G34" s="86"/>
      <c r="H34" s="86">
        <v>0</v>
      </c>
      <c r="I34" s="86">
        <v>0</v>
      </c>
      <c r="J34" s="93"/>
      <c r="K34" s="86"/>
      <c r="L34" s="86"/>
    </row>
    <row r="35" spans="1:12" s="65" customFormat="1" ht="19.5" customHeight="1">
      <c r="A35" s="86" t="s">
        <v>30</v>
      </c>
      <c r="B35" s="86" t="s">
        <v>58</v>
      </c>
      <c r="C35" s="82">
        <v>2017</v>
      </c>
      <c r="D35" s="86">
        <f t="shared" si="2"/>
        <v>7</v>
      </c>
      <c r="E35" s="86">
        <v>0</v>
      </c>
      <c r="F35" s="86"/>
      <c r="G35" s="86"/>
      <c r="H35" s="86">
        <v>0</v>
      </c>
      <c r="I35" s="86">
        <v>7</v>
      </c>
      <c r="J35" s="93"/>
      <c r="K35" s="86" t="s">
        <v>55</v>
      </c>
      <c r="L35" s="86" t="s">
        <v>59</v>
      </c>
    </row>
    <row r="36" spans="1:12" s="65" customFormat="1" ht="19.5" customHeight="1">
      <c r="A36" s="86"/>
      <c r="B36" s="86"/>
      <c r="C36" s="82">
        <v>2018</v>
      </c>
      <c r="D36" s="86">
        <f>E36+H36+I36</f>
        <v>0</v>
      </c>
      <c r="E36" s="86">
        <v>0</v>
      </c>
      <c r="F36" s="86"/>
      <c r="G36" s="86"/>
      <c r="H36" s="86">
        <v>0</v>
      </c>
      <c r="I36" s="86">
        <v>0</v>
      </c>
      <c r="J36" s="97"/>
      <c r="K36" s="86"/>
      <c r="L36" s="86"/>
    </row>
    <row r="37" spans="1:12" s="65" customFormat="1" ht="19.5" customHeight="1">
      <c r="A37" s="86"/>
      <c r="B37" s="86"/>
      <c r="C37" s="82">
        <v>2019</v>
      </c>
      <c r="D37" s="86">
        <f>SUM(E37:I37)</f>
        <v>0</v>
      </c>
      <c r="E37" s="86">
        <v>0</v>
      </c>
      <c r="F37" s="86"/>
      <c r="G37" s="86"/>
      <c r="H37" s="86">
        <v>0</v>
      </c>
      <c r="I37" s="86">
        <v>0</v>
      </c>
      <c r="J37" s="97"/>
      <c r="K37" s="86"/>
      <c r="L37" s="86"/>
    </row>
    <row r="38" spans="1:12" s="65" customFormat="1" ht="19.5" customHeight="1">
      <c r="A38" s="86"/>
      <c r="B38" s="86"/>
      <c r="C38" s="82">
        <v>2020</v>
      </c>
      <c r="D38" s="86">
        <f>I38</f>
        <v>0</v>
      </c>
      <c r="E38" s="86">
        <v>0</v>
      </c>
      <c r="F38" s="86"/>
      <c r="G38" s="86"/>
      <c r="H38" s="86">
        <v>0</v>
      </c>
      <c r="I38" s="86">
        <v>0</v>
      </c>
      <c r="J38" s="97"/>
      <c r="K38" s="86"/>
      <c r="L38" s="86"/>
    </row>
    <row r="39" spans="1:12" s="65" customFormat="1" ht="19.5" customHeight="1">
      <c r="A39" s="86"/>
      <c r="B39" s="86"/>
      <c r="C39" s="82">
        <v>2021</v>
      </c>
      <c r="D39" s="86">
        <f aca="true" t="shared" si="3" ref="D39:D41">E39+F39+I39+J39</f>
        <v>0</v>
      </c>
      <c r="E39" s="86">
        <v>0</v>
      </c>
      <c r="F39" s="86"/>
      <c r="G39" s="86"/>
      <c r="H39" s="86">
        <v>0</v>
      </c>
      <c r="I39" s="86">
        <v>0</v>
      </c>
      <c r="J39" s="97"/>
      <c r="K39" s="86"/>
      <c r="L39" s="86"/>
    </row>
    <row r="40" spans="1:12" s="65" customFormat="1" ht="19.5" customHeight="1">
      <c r="A40" s="86"/>
      <c r="B40" s="86"/>
      <c r="C40" s="82">
        <v>2022</v>
      </c>
      <c r="D40" s="86">
        <f t="shared" si="3"/>
        <v>0</v>
      </c>
      <c r="E40" s="86">
        <v>0</v>
      </c>
      <c r="F40" s="86"/>
      <c r="G40" s="86"/>
      <c r="H40" s="86">
        <v>0</v>
      </c>
      <c r="I40" s="86">
        <v>0</v>
      </c>
      <c r="J40" s="97"/>
      <c r="K40" s="86"/>
      <c r="L40" s="86"/>
    </row>
    <row r="41" spans="1:12" s="65" customFormat="1" ht="19.5" customHeight="1">
      <c r="A41" s="86"/>
      <c r="B41" s="86"/>
      <c r="C41" s="82">
        <v>2023</v>
      </c>
      <c r="D41" s="86">
        <f t="shared" si="3"/>
        <v>0</v>
      </c>
      <c r="E41" s="86">
        <v>0</v>
      </c>
      <c r="F41" s="86"/>
      <c r="G41" s="86"/>
      <c r="H41" s="86">
        <v>0</v>
      </c>
      <c r="I41" s="86">
        <v>0</v>
      </c>
      <c r="J41" s="97"/>
      <c r="K41" s="86"/>
      <c r="L41" s="86"/>
    </row>
    <row r="42" spans="1:12" s="65" customFormat="1" ht="19.5" customHeight="1">
      <c r="A42" s="86"/>
      <c r="B42" s="86"/>
      <c r="C42" s="82">
        <v>2024</v>
      </c>
      <c r="D42" s="86">
        <f aca="true" t="shared" si="4" ref="D42:D44">I42</f>
        <v>0</v>
      </c>
      <c r="E42" s="86">
        <v>0</v>
      </c>
      <c r="F42" s="86"/>
      <c r="G42" s="86"/>
      <c r="H42" s="86">
        <v>0</v>
      </c>
      <c r="I42" s="86">
        <v>0</v>
      </c>
      <c r="J42" s="97"/>
      <c r="K42" s="86"/>
      <c r="L42" s="86"/>
    </row>
    <row r="43" spans="1:12" s="65" customFormat="1" ht="19.5" customHeight="1">
      <c r="A43" s="86"/>
      <c r="B43" s="86"/>
      <c r="C43" s="82">
        <v>2025</v>
      </c>
      <c r="D43" s="86">
        <f t="shared" si="4"/>
        <v>0</v>
      </c>
      <c r="E43" s="86">
        <v>0</v>
      </c>
      <c r="F43" s="86"/>
      <c r="G43" s="86"/>
      <c r="H43" s="86">
        <v>0</v>
      </c>
      <c r="I43" s="86">
        <v>0</v>
      </c>
      <c r="J43" s="97"/>
      <c r="K43" s="86"/>
      <c r="L43" s="86"/>
    </row>
    <row r="44" spans="1:12" s="65" customFormat="1" ht="19.5" customHeight="1">
      <c r="A44" s="86" t="s">
        <v>32</v>
      </c>
      <c r="B44" s="86" t="s">
        <v>60</v>
      </c>
      <c r="C44" s="82">
        <v>2017</v>
      </c>
      <c r="D44" s="86">
        <f t="shared" si="4"/>
        <v>8</v>
      </c>
      <c r="E44" s="86">
        <v>0</v>
      </c>
      <c r="F44" s="86"/>
      <c r="G44" s="86"/>
      <c r="H44" s="86">
        <v>0</v>
      </c>
      <c r="I44" s="86">
        <v>8</v>
      </c>
      <c r="J44" s="97"/>
      <c r="K44" s="86" t="s">
        <v>61</v>
      </c>
      <c r="L44" s="86" t="s">
        <v>62</v>
      </c>
    </row>
    <row r="45" spans="1:12" s="65" customFormat="1" ht="19.5" customHeight="1">
      <c r="A45" s="86"/>
      <c r="B45" s="86"/>
      <c r="C45" s="82">
        <v>2018</v>
      </c>
      <c r="D45" s="86">
        <f>E45+H45+I45</f>
        <v>0</v>
      </c>
      <c r="E45" s="86">
        <v>0</v>
      </c>
      <c r="F45" s="86"/>
      <c r="G45" s="86"/>
      <c r="H45" s="86">
        <v>0</v>
      </c>
      <c r="I45" s="86">
        <v>0</v>
      </c>
      <c r="J45" s="93"/>
      <c r="K45" s="86"/>
      <c r="L45" s="86"/>
    </row>
    <row r="46" spans="1:12" s="65" customFormat="1" ht="19.5" customHeight="1">
      <c r="A46" s="86"/>
      <c r="B46" s="86"/>
      <c r="C46" s="82">
        <v>2019</v>
      </c>
      <c r="D46" s="86">
        <f>SUM(E46:I46)</f>
        <v>2.8</v>
      </c>
      <c r="E46" s="86">
        <v>0</v>
      </c>
      <c r="F46" s="86"/>
      <c r="G46" s="86"/>
      <c r="H46" s="86">
        <v>0</v>
      </c>
      <c r="I46" s="86">
        <v>2.8</v>
      </c>
      <c r="J46" s="93"/>
      <c r="K46" s="86"/>
      <c r="L46" s="86"/>
    </row>
    <row r="47" spans="1:12" s="65" customFormat="1" ht="19.5" customHeight="1">
      <c r="A47" s="86"/>
      <c r="B47" s="86"/>
      <c r="C47" s="82">
        <v>2020</v>
      </c>
      <c r="D47" s="86">
        <f>I47</f>
        <v>0</v>
      </c>
      <c r="E47" s="86">
        <v>0</v>
      </c>
      <c r="F47" s="86"/>
      <c r="G47" s="86"/>
      <c r="H47" s="86">
        <v>0</v>
      </c>
      <c r="I47" s="86">
        <v>0</v>
      </c>
      <c r="J47" s="93"/>
      <c r="K47" s="86"/>
      <c r="L47" s="86"/>
    </row>
    <row r="48" spans="1:12" s="65" customFormat="1" ht="19.5" customHeight="1">
      <c r="A48" s="86"/>
      <c r="B48" s="86"/>
      <c r="C48" s="82">
        <v>2021</v>
      </c>
      <c r="D48" s="86">
        <f aca="true" t="shared" si="5" ref="D48:D50">E48+F48+I48+J48</f>
        <v>0</v>
      </c>
      <c r="E48" s="86">
        <v>0</v>
      </c>
      <c r="F48" s="86"/>
      <c r="G48" s="86"/>
      <c r="H48" s="86">
        <v>0</v>
      </c>
      <c r="I48" s="86">
        <v>0</v>
      </c>
      <c r="J48" s="93"/>
      <c r="K48" s="86"/>
      <c r="L48" s="86"/>
    </row>
    <row r="49" spans="1:12" s="65" customFormat="1" ht="19.5" customHeight="1">
      <c r="A49" s="86"/>
      <c r="B49" s="86"/>
      <c r="C49" s="82">
        <v>2022</v>
      </c>
      <c r="D49" s="86">
        <f t="shared" si="5"/>
        <v>0</v>
      </c>
      <c r="E49" s="86">
        <v>0</v>
      </c>
      <c r="F49" s="86"/>
      <c r="G49" s="86"/>
      <c r="H49" s="86">
        <v>0</v>
      </c>
      <c r="I49" s="86">
        <v>0</v>
      </c>
      <c r="J49" s="93"/>
      <c r="K49" s="86"/>
      <c r="L49" s="86"/>
    </row>
    <row r="50" spans="1:12" s="65" customFormat="1" ht="19.5" customHeight="1">
      <c r="A50" s="86"/>
      <c r="B50" s="86"/>
      <c r="C50" s="82">
        <v>2023</v>
      </c>
      <c r="D50" s="86">
        <f t="shared" si="5"/>
        <v>0</v>
      </c>
      <c r="E50" s="86">
        <v>0</v>
      </c>
      <c r="F50" s="86"/>
      <c r="G50" s="86"/>
      <c r="H50" s="86">
        <v>0</v>
      </c>
      <c r="I50" s="86">
        <v>0</v>
      </c>
      <c r="J50" s="93"/>
      <c r="K50" s="86"/>
      <c r="L50" s="86"/>
    </row>
    <row r="51" spans="1:12" s="65" customFormat="1" ht="19.5" customHeight="1">
      <c r="A51" s="86"/>
      <c r="B51" s="86"/>
      <c r="C51" s="82">
        <v>2024</v>
      </c>
      <c r="D51" s="86">
        <f aca="true" t="shared" si="6" ref="D51:D60">I51</f>
        <v>0</v>
      </c>
      <c r="E51" s="86">
        <v>0</v>
      </c>
      <c r="F51" s="86"/>
      <c r="G51" s="86"/>
      <c r="H51" s="86">
        <v>0</v>
      </c>
      <c r="I51" s="86">
        <v>0</v>
      </c>
      <c r="J51" s="93"/>
      <c r="K51" s="86"/>
      <c r="L51" s="86"/>
    </row>
    <row r="52" spans="1:12" s="65" customFormat="1" ht="19.5" customHeight="1">
      <c r="A52" s="86"/>
      <c r="B52" s="86"/>
      <c r="C52" s="82">
        <v>2025</v>
      </c>
      <c r="D52" s="86">
        <f t="shared" si="6"/>
        <v>0</v>
      </c>
      <c r="E52" s="86">
        <v>0</v>
      </c>
      <c r="F52" s="86"/>
      <c r="G52" s="86"/>
      <c r="H52" s="86">
        <v>0</v>
      </c>
      <c r="I52" s="86">
        <v>0</v>
      </c>
      <c r="J52" s="93"/>
      <c r="K52" s="86"/>
      <c r="L52" s="86"/>
    </row>
    <row r="53" spans="1:12" s="65" customFormat="1" ht="19.5" customHeight="1">
      <c r="A53" s="86" t="s">
        <v>63</v>
      </c>
      <c r="B53" s="86" t="s">
        <v>64</v>
      </c>
      <c r="C53" s="94">
        <v>2017</v>
      </c>
      <c r="D53" s="86">
        <f t="shared" si="6"/>
        <v>115.476</v>
      </c>
      <c r="E53" s="86">
        <v>0</v>
      </c>
      <c r="F53" s="86"/>
      <c r="G53" s="86"/>
      <c r="H53" s="86">
        <v>0</v>
      </c>
      <c r="I53" s="86">
        <v>115.476</v>
      </c>
      <c r="J53" s="93"/>
      <c r="K53" s="86" t="s">
        <v>61</v>
      </c>
      <c r="L53" s="86" t="s">
        <v>65</v>
      </c>
    </row>
    <row r="54" spans="1:12" s="65" customFormat="1" ht="26.25" customHeight="1">
      <c r="A54" s="86"/>
      <c r="B54" s="86"/>
      <c r="C54" s="94"/>
      <c r="D54" s="86">
        <f t="shared" si="6"/>
        <v>165.0305</v>
      </c>
      <c r="E54" s="86">
        <v>0</v>
      </c>
      <c r="F54" s="86"/>
      <c r="G54" s="86"/>
      <c r="H54" s="86">
        <v>0</v>
      </c>
      <c r="I54" s="86">
        <v>165.0305</v>
      </c>
      <c r="J54" s="93"/>
      <c r="K54" s="86" t="s">
        <v>61</v>
      </c>
      <c r="L54" s="86"/>
    </row>
    <row r="55" spans="1:12" s="65" customFormat="1" ht="28.5" customHeight="1">
      <c r="A55" s="86"/>
      <c r="B55" s="86"/>
      <c r="C55" s="94"/>
      <c r="D55" s="86">
        <f t="shared" si="6"/>
        <v>230.5</v>
      </c>
      <c r="E55" s="86">
        <v>0</v>
      </c>
      <c r="F55" s="86"/>
      <c r="G55" s="86"/>
      <c r="H55" s="86">
        <v>0</v>
      </c>
      <c r="I55" s="86">
        <v>230.5</v>
      </c>
      <c r="J55" s="93"/>
      <c r="K55" s="86" t="s">
        <v>61</v>
      </c>
      <c r="L55" s="86"/>
    </row>
    <row r="56" spans="1:12" s="65" customFormat="1" ht="27.75" customHeight="1">
      <c r="A56" s="86"/>
      <c r="B56" s="86"/>
      <c r="C56" s="82">
        <v>2018</v>
      </c>
      <c r="D56" s="86">
        <f t="shared" si="6"/>
        <v>545.1769999999999</v>
      </c>
      <c r="E56" s="86">
        <v>0</v>
      </c>
      <c r="F56" s="86"/>
      <c r="G56" s="86"/>
      <c r="H56" s="86">
        <v>0</v>
      </c>
      <c r="I56" s="86">
        <f>546.776-1.599</f>
        <v>545.1769999999999</v>
      </c>
      <c r="J56" s="97"/>
      <c r="K56" s="98" t="s">
        <v>61</v>
      </c>
      <c r="L56" s="86"/>
    </row>
    <row r="57" spans="1:12" s="65" customFormat="1" ht="19.5" customHeight="1">
      <c r="A57" s="86"/>
      <c r="B57" s="86"/>
      <c r="C57" s="82">
        <v>2019</v>
      </c>
      <c r="D57" s="86">
        <f t="shared" si="6"/>
        <v>257.23976</v>
      </c>
      <c r="E57" s="86">
        <v>0</v>
      </c>
      <c r="F57" s="86"/>
      <c r="G57" s="86"/>
      <c r="H57" s="86">
        <v>0</v>
      </c>
      <c r="I57" s="86">
        <f>257.23976</f>
        <v>257.23976</v>
      </c>
      <c r="J57" s="99"/>
      <c r="K57" s="98" t="s">
        <v>55</v>
      </c>
      <c r="L57" s="86"/>
    </row>
    <row r="58" spans="1:12" s="65" customFormat="1" ht="19.5" customHeight="1">
      <c r="A58" s="86"/>
      <c r="B58" s="86"/>
      <c r="C58" s="82">
        <v>2019</v>
      </c>
      <c r="D58" s="86">
        <f t="shared" si="6"/>
        <v>143.115</v>
      </c>
      <c r="E58" s="86">
        <v>0</v>
      </c>
      <c r="F58" s="86"/>
      <c r="G58" s="86"/>
      <c r="H58" s="86">
        <v>0</v>
      </c>
      <c r="I58" s="86">
        <v>143.115</v>
      </c>
      <c r="J58" s="99"/>
      <c r="K58" s="98" t="s">
        <v>61</v>
      </c>
      <c r="L58" s="86"/>
    </row>
    <row r="59" spans="1:12" s="65" customFormat="1" ht="19.5" customHeight="1">
      <c r="A59" s="86"/>
      <c r="B59" s="86"/>
      <c r="C59" s="82">
        <v>2020</v>
      </c>
      <c r="D59" s="86">
        <f t="shared" si="6"/>
        <v>344.987</v>
      </c>
      <c r="E59" s="86">
        <v>0</v>
      </c>
      <c r="F59" s="86"/>
      <c r="G59" s="86"/>
      <c r="H59" s="86">
        <v>0</v>
      </c>
      <c r="I59" s="86">
        <f>388.187-I60</f>
        <v>344.987</v>
      </c>
      <c r="J59" s="97"/>
      <c r="K59" s="98" t="s">
        <v>55</v>
      </c>
      <c r="L59" s="86"/>
    </row>
    <row r="60" spans="1:12" s="65" customFormat="1" ht="26.25" customHeight="1">
      <c r="A60" s="86"/>
      <c r="B60" s="86"/>
      <c r="C60" s="82"/>
      <c r="D60" s="86">
        <f t="shared" si="6"/>
        <v>43.2</v>
      </c>
      <c r="E60" s="86">
        <v>0</v>
      </c>
      <c r="F60" s="86"/>
      <c r="G60" s="86"/>
      <c r="H60" s="86">
        <v>0</v>
      </c>
      <c r="I60" s="86">
        <v>43.2</v>
      </c>
      <c r="J60" s="97"/>
      <c r="K60" s="100" t="s">
        <v>61</v>
      </c>
      <c r="L60" s="86"/>
    </row>
    <row r="61" spans="1:12" s="65" customFormat="1" ht="19.5" customHeight="1">
      <c r="A61" s="86"/>
      <c r="B61" s="86"/>
      <c r="C61" s="82">
        <v>2021</v>
      </c>
      <c r="D61" s="86">
        <f>E61+F61+I61+J61</f>
        <v>335.38</v>
      </c>
      <c r="E61" s="86">
        <v>0</v>
      </c>
      <c r="F61" s="86"/>
      <c r="G61" s="86"/>
      <c r="H61" s="86">
        <v>0</v>
      </c>
      <c r="I61" s="86">
        <v>335.38</v>
      </c>
      <c r="J61" s="97"/>
      <c r="K61" s="86" t="s">
        <v>66</v>
      </c>
      <c r="L61" s="86"/>
    </row>
    <row r="62" spans="1:12" s="65" customFormat="1" ht="19.5" customHeight="1">
      <c r="A62" s="86"/>
      <c r="B62" s="86"/>
      <c r="C62" s="82">
        <v>2021</v>
      </c>
      <c r="D62" s="86">
        <f aca="true" t="shared" si="7" ref="D62:D70">I62</f>
        <v>287.6915</v>
      </c>
      <c r="E62" s="86"/>
      <c r="F62" s="86"/>
      <c r="G62" s="86"/>
      <c r="H62" s="86"/>
      <c r="I62" s="86">
        <f>417.6915-130</f>
        <v>287.6915</v>
      </c>
      <c r="J62" s="97"/>
      <c r="K62" s="86"/>
      <c r="L62" s="86"/>
    </row>
    <row r="63" spans="1:12" s="65" customFormat="1" ht="19.5" customHeight="1">
      <c r="A63" s="86"/>
      <c r="B63" s="86"/>
      <c r="C63" s="82">
        <v>2022</v>
      </c>
      <c r="D63" s="86">
        <f t="shared" si="7"/>
        <v>427.36</v>
      </c>
      <c r="E63" s="86">
        <v>0</v>
      </c>
      <c r="F63" s="86"/>
      <c r="G63" s="86"/>
      <c r="H63" s="86">
        <v>0</v>
      </c>
      <c r="I63" s="86">
        <v>427.36</v>
      </c>
      <c r="J63" s="97"/>
      <c r="K63" s="86"/>
      <c r="L63" s="86"/>
    </row>
    <row r="64" spans="1:12" s="65" customFormat="1" ht="19.5" customHeight="1">
      <c r="A64" s="86"/>
      <c r="B64" s="86"/>
      <c r="C64" s="101">
        <v>2023</v>
      </c>
      <c r="D64" s="102">
        <f t="shared" si="7"/>
        <v>412.52474000000007</v>
      </c>
      <c r="E64" s="102">
        <v>0</v>
      </c>
      <c r="F64" s="102"/>
      <c r="G64" s="102"/>
      <c r="H64" s="102">
        <v>0</v>
      </c>
      <c r="I64" s="102">
        <f>200+77.62+157.30474+65+65-130-22.4</f>
        <v>412.52474000000007</v>
      </c>
      <c r="J64" s="97"/>
      <c r="K64" s="86"/>
      <c r="L64" s="86"/>
    </row>
    <row r="65" spans="1:12" s="65" customFormat="1" ht="19.5" customHeight="1">
      <c r="A65" s="86"/>
      <c r="B65" s="86"/>
      <c r="C65" s="82">
        <v>2024</v>
      </c>
      <c r="D65" s="86">
        <f t="shared" si="7"/>
        <v>70</v>
      </c>
      <c r="E65" s="86">
        <v>0</v>
      </c>
      <c r="F65" s="86"/>
      <c r="G65" s="86"/>
      <c r="H65" s="86">
        <v>0</v>
      </c>
      <c r="I65" s="86">
        <v>70</v>
      </c>
      <c r="J65" s="97"/>
      <c r="K65" s="86"/>
      <c r="L65" s="86"/>
    </row>
    <row r="66" spans="1:12" s="65" customFormat="1" ht="19.5" customHeight="1">
      <c r="A66" s="86"/>
      <c r="B66" s="86"/>
      <c r="C66" s="82">
        <v>2025</v>
      </c>
      <c r="D66" s="86">
        <f t="shared" si="7"/>
        <v>70</v>
      </c>
      <c r="E66" s="86">
        <v>0</v>
      </c>
      <c r="F66" s="86"/>
      <c r="G66" s="86"/>
      <c r="H66" s="86">
        <v>0</v>
      </c>
      <c r="I66" s="86">
        <v>70</v>
      </c>
      <c r="J66" s="97"/>
      <c r="K66" s="86"/>
      <c r="L66" s="86"/>
    </row>
    <row r="67" spans="1:12" s="65" customFormat="1" ht="19.5" customHeight="1">
      <c r="A67" s="86" t="s">
        <v>67</v>
      </c>
      <c r="B67" s="86" t="s">
        <v>68</v>
      </c>
      <c r="C67" s="82">
        <v>2017</v>
      </c>
      <c r="D67" s="86">
        <f t="shared" si="7"/>
        <v>56.559</v>
      </c>
      <c r="E67" s="86">
        <v>0</v>
      </c>
      <c r="F67" s="86"/>
      <c r="G67" s="86"/>
      <c r="H67" s="86">
        <v>0</v>
      </c>
      <c r="I67" s="86">
        <v>56.559</v>
      </c>
      <c r="J67" s="97"/>
      <c r="K67" s="98"/>
      <c r="L67" s="86" t="s">
        <v>69</v>
      </c>
    </row>
    <row r="68" spans="1:12" s="65" customFormat="1" ht="19.5" customHeight="1">
      <c r="A68" s="86"/>
      <c r="B68" s="86"/>
      <c r="C68" s="82"/>
      <c r="D68" s="86">
        <f t="shared" si="7"/>
        <v>35</v>
      </c>
      <c r="E68" s="86">
        <v>0</v>
      </c>
      <c r="F68" s="86"/>
      <c r="G68" s="86"/>
      <c r="H68" s="86">
        <v>0</v>
      </c>
      <c r="I68" s="86">
        <v>35</v>
      </c>
      <c r="J68" s="97"/>
      <c r="K68" s="98"/>
      <c r="L68" s="86"/>
    </row>
    <row r="69" spans="1:12" s="65" customFormat="1" ht="19.5" customHeight="1">
      <c r="A69" s="86"/>
      <c r="B69" s="86"/>
      <c r="C69" s="82"/>
      <c r="D69" s="86">
        <f t="shared" si="7"/>
        <v>250</v>
      </c>
      <c r="E69" s="86">
        <v>0</v>
      </c>
      <c r="F69" s="86"/>
      <c r="G69" s="86"/>
      <c r="H69" s="86">
        <v>0</v>
      </c>
      <c r="I69" s="86">
        <v>250</v>
      </c>
      <c r="J69" s="97"/>
      <c r="K69" s="86" t="s">
        <v>70</v>
      </c>
      <c r="L69" s="86"/>
    </row>
    <row r="70" spans="1:12" s="65" customFormat="1" ht="19.5" customHeight="1">
      <c r="A70" s="86"/>
      <c r="B70" s="86"/>
      <c r="C70" s="82"/>
      <c r="D70" s="86">
        <f t="shared" si="7"/>
        <v>42</v>
      </c>
      <c r="E70" s="86">
        <v>0</v>
      </c>
      <c r="F70" s="86"/>
      <c r="G70" s="86"/>
      <c r="H70" s="86">
        <v>0</v>
      </c>
      <c r="I70" s="86">
        <v>42</v>
      </c>
      <c r="J70" s="97"/>
      <c r="K70" s="86"/>
      <c r="L70" s="86"/>
    </row>
    <row r="71" spans="1:13" s="65" customFormat="1" ht="19.5" customHeight="1">
      <c r="A71" s="86"/>
      <c r="B71" s="86"/>
      <c r="C71" s="82">
        <v>2018</v>
      </c>
      <c r="D71" s="86">
        <f>E71+H71+I71</f>
        <v>277.231</v>
      </c>
      <c r="E71" s="86">
        <v>0</v>
      </c>
      <c r="F71" s="86"/>
      <c r="G71" s="86"/>
      <c r="H71" s="86">
        <v>0</v>
      </c>
      <c r="I71" s="86">
        <v>277.231</v>
      </c>
      <c r="J71" s="97"/>
      <c r="K71" s="86"/>
      <c r="L71" s="86"/>
      <c r="M71" s="65" t="s">
        <v>71</v>
      </c>
    </row>
    <row r="72" spans="1:12" s="65" customFormat="1" ht="19.5" customHeight="1">
      <c r="A72" s="86"/>
      <c r="B72" s="86"/>
      <c r="C72" s="82"/>
      <c r="D72" s="86">
        <f>I72</f>
        <v>45.969</v>
      </c>
      <c r="E72" s="86">
        <v>0</v>
      </c>
      <c r="F72" s="86"/>
      <c r="G72" s="86"/>
      <c r="H72" s="86">
        <v>0</v>
      </c>
      <c r="I72" s="86">
        <v>45.969</v>
      </c>
      <c r="J72" s="97"/>
      <c r="K72" s="86"/>
      <c r="L72" s="86"/>
    </row>
    <row r="73" spans="1:12" s="65" customFormat="1" ht="19.5" customHeight="1">
      <c r="A73" s="86"/>
      <c r="B73" s="86"/>
      <c r="C73" s="82"/>
      <c r="D73" s="86">
        <f>E73+H73+I73</f>
        <v>44.37</v>
      </c>
      <c r="E73" s="86">
        <v>0</v>
      </c>
      <c r="F73" s="86"/>
      <c r="G73" s="86"/>
      <c r="H73" s="86">
        <v>0</v>
      </c>
      <c r="I73" s="86">
        <v>44.37</v>
      </c>
      <c r="J73" s="97"/>
      <c r="K73" s="86"/>
      <c r="L73" s="86"/>
    </row>
    <row r="74" spans="1:12" s="65" customFormat="1" ht="19.5" customHeight="1">
      <c r="A74" s="86"/>
      <c r="B74" s="86"/>
      <c r="C74" s="82">
        <v>2019</v>
      </c>
      <c r="D74" s="86">
        <f>SUM(E74:I74)</f>
        <v>150.46124</v>
      </c>
      <c r="E74" s="86">
        <v>0</v>
      </c>
      <c r="F74" s="86"/>
      <c r="G74" s="86"/>
      <c r="H74" s="86">
        <v>0</v>
      </c>
      <c r="I74" s="86">
        <v>150.46124</v>
      </c>
      <c r="J74" s="97"/>
      <c r="K74" s="86"/>
      <c r="L74" s="86"/>
    </row>
    <row r="75" spans="1:12" s="65" customFormat="1" ht="19.5" customHeight="1">
      <c r="A75" s="86"/>
      <c r="B75" s="86"/>
      <c r="C75" s="82"/>
      <c r="D75" s="86">
        <f>I75</f>
        <v>70</v>
      </c>
      <c r="E75" s="86">
        <v>0</v>
      </c>
      <c r="F75" s="86"/>
      <c r="G75" s="86"/>
      <c r="H75" s="86">
        <v>0</v>
      </c>
      <c r="I75" s="86">
        <v>70</v>
      </c>
      <c r="J75" s="97"/>
      <c r="K75" s="86"/>
      <c r="L75" s="86"/>
    </row>
    <row r="76" spans="1:12" s="65" customFormat="1" ht="19.5" customHeight="1">
      <c r="A76" s="86"/>
      <c r="B76" s="86"/>
      <c r="C76" s="82"/>
      <c r="D76" s="86">
        <f>E76+H76+I76</f>
        <v>49.188</v>
      </c>
      <c r="E76" s="86">
        <v>0</v>
      </c>
      <c r="F76" s="86"/>
      <c r="G76" s="86"/>
      <c r="H76" s="86">
        <v>0</v>
      </c>
      <c r="I76" s="86">
        <v>49.188</v>
      </c>
      <c r="J76" s="97"/>
      <c r="K76" s="86"/>
      <c r="L76" s="86"/>
    </row>
    <row r="77" spans="1:12" s="65" customFormat="1" ht="19.5" customHeight="1">
      <c r="A77" s="86"/>
      <c r="B77" s="86"/>
      <c r="C77" s="82">
        <v>2020</v>
      </c>
      <c r="D77" s="86">
        <f>I77</f>
        <v>150.933</v>
      </c>
      <c r="E77" s="86">
        <v>0</v>
      </c>
      <c r="F77" s="86"/>
      <c r="G77" s="86"/>
      <c r="H77" s="86">
        <v>0</v>
      </c>
      <c r="I77" s="86">
        <v>150.933</v>
      </c>
      <c r="J77" s="97" t="s">
        <v>71</v>
      </c>
      <c r="K77" s="86"/>
      <c r="L77" s="86"/>
    </row>
    <row r="78" spans="1:12" s="65" customFormat="1" ht="19.5" customHeight="1">
      <c r="A78" s="86"/>
      <c r="B78" s="86"/>
      <c r="C78" s="82"/>
      <c r="D78" s="86">
        <f>E78+H78+I78</f>
        <v>213.662</v>
      </c>
      <c r="E78" s="86">
        <v>0</v>
      </c>
      <c r="F78" s="86"/>
      <c r="G78" s="86"/>
      <c r="H78" s="86">
        <v>0</v>
      </c>
      <c r="I78" s="86">
        <v>213.662</v>
      </c>
      <c r="J78" s="97"/>
      <c r="K78" s="86"/>
      <c r="L78" s="86"/>
    </row>
    <row r="79" spans="1:12" s="65" customFormat="1" ht="19.5" customHeight="1">
      <c r="A79" s="86"/>
      <c r="B79" s="86"/>
      <c r="C79" s="82">
        <v>2021</v>
      </c>
      <c r="D79" s="86">
        <f>I79</f>
        <v>138.6575</v>
      </c>
      <c r="E79" s="86">
        <v>0</v>
      </c>
      <c r="F79" s="86"/>
      <c r="G79" s="86"/>
      <c r="H79" s="86">
        <v>0</v>
      </c>
      <c r="I79" s="86">
        <v>138.6575</v>
      </c>
      <c r="J79" s="97"/>
      <c r="K79" s="86"/>
      <c r="L79" s="86"/>
    </row>
    <row r="80" spans="1:12" s="65" customFormat="1" ht="19.5" customHeight="1">
      <c r="A80" s="86"/>
      <c r="B80" s="86"/>
      <c r="C80" s="82"/>
      <c r="D80" s="86">
        <f>E80+F80+I80+J80</f>
        <v>60.32</v>
      </c>
      <c r="E80" s="86">
        <v>0</v>
      </c>
      <c r="F80" s="86"/>
      <c r="G80" s="86"/>
      <c r="H80" s="86">
        <v>0</v>
      </c>
      <c r="I80" s="86">
        <v>60.32</v>
      </c>
      <c r="J80" s="97"/>
      <c r="K80" s="86"/>
      <c r="L80" s="86"/>
    </row>
    <row r="81" spans="1:12" s="65" customFormat="1" ht="19.5" customHeight="1">
      <c r="A81" s="86"/>
      <c r="B81" s="86"/>
      <c r="C81" s="103">
        <v>2022</v>
      </c>
      <c r="D81" s="86">
        <f aca="true" t="shared" si="8" ref="D81:D85">I81</f>
        <v>379</v>
      </c>
      <c r="E81" s="86">
        <v>0</v>
      </c>
      <c r="F81" s="86"/>
      <c r="G81" s="86"/>
      <c r="H81" s="86">
        <v>0</v>
      </c>
      <c r="I81" s="86">
        <f>300+79</f>
        <v>379</v>
      </c>
      <c r="J81" s="97"/>
      <c r="K81" s="86"/>
      <c r="L81" s="86"/>
    </row>
    <row r="82" spans="1:12" s="65" customFormat="1" ht="19.5" customHeight="1">
      <c r="A82" s="86"/>
      <c r="B82" s="86"/>
      <c r="C82" s="104">
        <v>2023</v>
      </c>
      <c r="D82" s="102">
        <f t="shared" si="8"/>
        <v>147.4</v>
      </c>
      <c r="E82" s="102">
        <v>0</v>
      </c>
      <c r="F82" s="102"/>
      <c r="G82" s="102"/>
      <c r="H82" s="102">
        <v>0</v>
      </c>
      <c r="I82" s="102">
        <f>70+77.4</f>
        <v>147.4</v>
      </c>
      <c r="J82" s="97"/>
      <c r="K82" s="86"/>
      <c r="L82" s="86"/>
    </row>
    <row r="83" spans="1:12" s="65" customFormat="1" ht="19.5" customHeight="1">
      <c r="A83" s="86"/>
      <c r="B83" s="86"/>
      <c r="C83" s="103">
        <v>2024</v>
      </c>
      <c r="D83" s="86">
        <f t="shared" si="8"/>
        <v>20</v>
      </c>
      <c r="E83" s="86">
        <v>0</v>
      </c>
      <c r="F83" s="86"/>
      <c r="G83" s="86"/>
      <c r="H83" s="86">
        <v>0</v>
      </c>
      <c r="I83" s="86">
        <v>20</v>
      </c>
      <c r="J83" s="97"/>
      <c r="K83" s="86"/>
      <c r="L83" s="86"/>
    </row>
    <row r="84" spans="1:12" s="65" customFormat="1" ht="19.5" customHeight="1">
      <c r="A84" s="86"/>
      <c r="B84" s="86"/>
      <c r="C84" s="103">
        <v>2025</v>
      </c>
      <c r="D84" s="86">
        <f t="shared" si="8"/>
        <v>20</v>
      </c>
      <c r="E84" s="86">
        <v>0</v>
      </c>
      <c r="F84" s="86"/>
      <c r="G84" s="86"/>
      <c r="H84" s="86">
        <v>0</v>
      </c>
      <c r="I84" s="86">
        <v>20</v>
      </c>
      <c r="J84" s="97"/>
      <c r="K84" s="86"/>
      <c r="L84" s="86"/>
    </row>
    <row r="85" spans="1:12" s="65" customFormat="1" ht="19.5" customHeight="1">
      <c r="A85" s="86" t="s">
        <v>72</v>
      </c>
      <c r="B85" s="86" t="s">
        <v>73</v>
      </c>
      <c r="C85" s="82">
        <v>2017</v>
      </c>
      <c r="D85" s="86">
        <f t="shared" si="8"/>
        <v>10</v>
      </c>
      <c r="E85" s="86">
        <v>0</v>
      </c>
      <c r="F85" s="86"/>
      <c r="G85" s="86"/>
      <c r="H85" s="86">
        <v>0</v>
      </c>
      <c r="I85" s="86">
        <v>10</v>
      </c>
      <c r="J85" s="97"/>
      <c r="K85" s="86" t="s">
        <v>55</v>
      </c>
      <c r="L85" s="86" t="s">
        <v>74</v>
      </c>
    </row>
    <row r="86" spans="1:12" s="65" customFormat="1" ht="19.5" customHeight="1">
      <c r="A86" s="86"/>
      <c r="B86" s="86"/>
      <c r="C86" s="82">
        <v>2018</v>
      </c>
      <c r="D86" s="86">
        <f>E86+H86+I86</f>
        <v>0</v>
      </c>
      <c r="E86" s="86">
        <v>0</v>
      </c>
      <c r="F86" s="86"/>
      <c r="G86" s="86"/>
      <c r="H86" s="86">
        <v>0</v>
      </c>
      <c r="I86" s="86">
        <v>0</v>
      </c>
      <c r="J86" s="97"/>
      <c r="K86" s="86"/>
      <c r="L86" s="86"/>
    </row>
    <row r="87" spans="1:12" s="65" customFormat="1" ht="19.5" customHeight="1">
      <c r="A87" s="86"/>
      <c r="B87" s="86"/>
      <c r="C87" s="82">
        <v>2019</v>
      </c>
      <c r="D87" s="86">
        <f>SUM(E87:I87)</f>
        <v>0</v>
      </c>
      <c r="E87" s="86">
        <v>0</v>
      </c>
      <c r="F87" s="86"/>
      <c r="G87" s="86"/>
      <c r="H87" s="86">
        <v>0</v>
      </c>
      <c r="I87" s="86">
        <v>0</v>
      </c>
      <c r="J87" s="97"/>
      <c r="K87" s="86"/>
      <c r="L87" s="86"/>
    </row>
    <row r="88" spans="1:12" s="65" customFormat="1" ht="19.5" customHeight="1">
      <c r="A88" s="86"/>
      <c r="B88" s="86"/>
      <c r="C88" s="82">
        <v>2020</v>
      </c>
      <c r="D88" s="86">
        <f>I88</f>
        <v>0</v>
      </c>
      <c r="E88" s="86">
        <v>0</v>
      </c>
      <c r="F88" s="86"/>
      <c r="G88" s="86"/>
      <c r="H88" s="86">
        <v>0</v>
      </c>
      <c r="I88" s="86">
        <v>0</v>
      </c>
      <c r="J88" s="97"/>
      <c r="K88" s="86"/>
      <c r="L88" s="86"/>
    </row>
    <row r="89" spans="1:12" s="65" customFormat="1" ht="19.5" customHeight="1">
      <c r="A89" s="86"/>
      <c r="B89" s="86"/>
      <c r="C89" s="82">
        <v>2021</v>
      </c>
      <c r="D89" s="86">
        <f>E89+F89+I89+J89</f>
        <v>0</v>
      </c>
      <c r="E89" s="86">
        <v>0</v>
      </c>
      <c r="F89" s="86"/>
      <c r="G89" s="86"/>
      <c r="H89" s="86">
        <v>0</v>
      </c>
      <c r="I89" s="86">
        <v>0</v>
      </c>
      <c r="J89" s="97"/>
      <c r="K89" s="86"/>
      <c r="L89" s="86"/>
    </row>
    <row r="90" spans="1:12" s="65" customFormat="1" ht="19.5" customHeight="1">
      <c r="A90" s="86"/>
      <c r="B90" s="86"/>
      <c r="C90" s="82">
        <v>2022</v>
      </c>
      <c r="D90" s="86">
        <f aca="true" t="shared" si="9" ref="D90:D92">I90</f>
        <v>0</v>
      </c>
      <c r="E90" s="86">
        <v>0</v>
      </c>
      <c r="F90" s="86"/>
      <c r="G90" s="86"/>
      <c r="H90" s="86">
        <v>0</v>
      </c>
      <c r="I90" s="86">
        <v>0</v>
      </c>
      <c r="J90" s="97"/>
      <c r="K90" s="86"/>
      <c r="L90" s="86"/>
    </row>
    <row r="91" spans="1:12" s="65" customFormat="1" ht="19.5" customHeight="1">
      <c r="A91" s="86"/>
      <c r="B91" s="86"/>
      <c r="C91" s="82">
        <v>2023</v>
      </c>
      <c r="D91" s="86">
        <f t="shared" si="9"/>
        <v>0</v>
      </c>
      <c r="E91" s="86">
        <v>0</v>
      </c>
      <c r="F91" s="86"/>
      <c r="G91" s="86"/>
      <c r="H91" s="86">
        <v>0</v>
      </c>
      <c r="I91" s="86">
        <v>0</v>
      </c>
      <c r="J91" s="97"/>
      <c r="K91" s="86"/>
      <c r="L91" s="86"/>
    </row>
    <row r="92" spans="1:12" s="65" customFormat="1" ht="19.5" customHeight="1">
      <c r="A92" s="86"/>
      <c r="B92" s="86"/>
      <c r="C92" s="82">
        <v>2024</v>
      </c>
      <c r="D92" s="86">
        <f t="shared" si="9"/>
        <v>0</v>
      </c>
      <c r="E92" s="86">
        <v>0</v>
      </c>
      <c r="F92" s="86"/>
      <c r="G92" s="86"/>
      <c r="H92" s="86">
        <v>0</v>
      </c>
      <c r="I92" s="86">
        <v>0</v>
      </c>
      <c r="J92" s="97"/>
      <c r="K92" s="86"/>
      <c r="L92" s="86"/>
    </row>
    <row r="93" spans="1:12" s="65" customFormat="1" ht="19.5" customHeight="1">
      <c r="A93" s="86"/>
      <c r="B93" s="86"/>
      <c r="C93" s="82">
        <v>2025</v>
      </c>
      <c r="D93" s="86">
        <v>0</v>
      </c>
      <c r="E93" s="86">
        <v>0</v>
      </c>
      <c r="F93" s="86"/>
      <c r="G93" s="86"/>
      <c r="H93" s="86">
        <v>0</v>
      </c>
      <c r="I93" s="86">
        <v>0</v>
      </c>
      <c r="J93" s="97"/>
      <c r="K93" s="86"/>
      <c r="L93" s="86"/>
    </row>
    <row r="94" spans="1:12" s="65" customFormat="1" ht="19.5" customHeight="1">
      <c r="A94" s="86" t="s">
        <v>75</v>
      </c>
      <c r="B94" s="86" t="s">
        <v>76</v>
      </c>
      <c r="C94" s="82">
        <v>2017</v>
      </c>
      <c r="D94" s="86">
        <f>I94</f>
        <v>5</v>
      </c>
      <c r="E94" s="86">
        <v>0</v>
      </c>
      <c r="F94" s="86"/>
      <c r="G94" s="86"/>
      <c r="H94" s="86">
        <v>0</v>
      </c>
      <c r="I94" s="86">
        <v>5</v>
      </c>
      <c r="J94" s="97"/>
      <c r="K94" s="105" t="s">
        <v>55</v>
      </c>
      <c r="L94" s="86" t="s">
        <v>77</v>
      </c>
    </row>
    <row r="95" spans="1:12" s="65" customFormat="1" ht="19.5" customHeight="1">
      <c r="A95" s="86"/>
      <c r="B95" s="86"/>
      <c r="C95" s="82">
        <v>2018</v>
      </c>
      <c r="D95" s="86">
        <f aca="true" t="shared" si="10" ref="D95:D96">SUM(E95:I95)</f>
        <v>0</v>
      </c>
      <c r="E95" s="86">
        <v>0</v>
      </c>
      <c r="F95" s="86"/>
      <c r="G95" s="86"/>
      <c r="H95" s="86">
        <v>0</v>
      </c>
      <c r="I95" s="86">
        <v>0</v>
      </c>
      <c r="J95" s="97"/>
      <c r="K95" s="105"/>
      <c r="L95" s="105"/>
    </row>
    <row r="96" spans="1:12" s="65" customFormat="1" ht="19.5" customHeight="1">
      <c r="A96" s="86"/>
      <c r="B96" s="86"/>
      <c r="C96" s="82">
        <v>2019</v>
      </c>
      <c r="D96" s="86">
        <f t="shared" si="10"/>
        <v>0</v>
      </c>
      <c r="E96" s="86">
        <v>0</v>
      </c>
      <c r="F96" s="86"/>
      <c r="G96" s="86"/>
      <c r="H96" s="86">
        <v>0</v>
      </c>
      <c r="I96" s="86">
        <v>0</v>
      </c>
      <c r="J96" s="97"/>
      <c r="L96" s="86"/>
    </row>
    <row r="97" spans="1:12" s="65" customFormat="1" ht="19.5" customHeight="1">
      <c r="A97" s="86"/>
      <c r="B97" s="86"/>
      <c r="C97" s="82">
        <v>2020</v>
      </c>
      <c r="D97" s="86">
        <f aca="true" t="shared" si="11" ref="D97:D101">I97</f>
        <v>0</v>
      </c>
      <c r="E97" s="86">
        <v>0</v>
      </c>
      <c r="F97" s="86"/>
      <c r="G97" s="86"/>
      <c r="H97" s="86">
        <v>0</v>
      </c>
      <c r="I97" s="86">
        <v>0</v>
      </c>
      <c r="J97" s="97"/>
      <c r="K97" s="106"/>
      <c r="L97" s="86"/>
    </row>
    <row r="98" spans="1:12" s="65" customFormat="1" ht="19.5" customHeight="1">
      <c r="A98" s="86"/>
      <c r="B98" s="86"/>
      <c r="C98" s="82">
        <v>2021</v>
      </c>
      <c r="D98" s="86">
        <f t="shared" si="11"/>
        <v>0</v>
      </c>
      <c r="E98" s="86">
        <v>0</v>
      </c>
      <c r="F98" s="86"/>
      <c r="G98" s="86"/>
      <c r="H98" s="86">
        <v>0</v>
      </c>
      <c r="I98" s="86">
        <v>0</v>
      </c>
      <c r="J98" s="97"/>
      <c r="K98" s="106"/>
      <c r="L98" s="86"/>
    </row>
    <row r="99" spans="1:12" s="65" customFormat="1" ht="19.5" customHeight="1">
      <c r="A99" s="86"/>
      <c r="B99" s="86"/>
      <c r="C99" s="82">
        <v>2022</v>
      </c>
      <c r="D99" s="86">
        <f t="shared" si="11"/>
        <v>23.123</v>
      </c>
      <c r="E99" s="86">
        <v>0</v>
      </c>
      <c r="F99" s="86"/>
      <c r="G99" s="86"/>
      <c r="H99" s="86">
        <v>0</v>
      </c>
      <c r="I99" s="86">
        <v>23.123</v>
      </c>
      <c r="J99" s="97"/>
      <c r="K99" s="93" t="s">
        <v>78</v>
      </c>
      <c r="L99" s="86"/>
    </row>
    <row r="100" spans="1:12" s="65" customFormat="1" ht="19.5" customHeight="1">
      <c r="A100" s="86"/>
      <c r="B100" s="86"/>
      <c r="C100" s="101">
        <v>2023</v>
      </c>
      <c r="D100" s="102">
        <f t="shared" si="11"/>
        <v>22.4</v>
      </c>
      <c r="E100" s="102">
        <v>0</v>
      </c>
      <c r="F100" s="102"/>
      <c r="G100" s="102"/>
      <c r="H100" s="102">
        <v>0</v>
      </c>
      <c r="I100" s="102">
        <v>22.4</v>
      </c>
      <c r="J100" s="97"/>
      <c r="K100" s="93" t="s">
        <v>78</v>
      </c>
      <c r="L100" s="86"/>
    </row>
    <row r="101" spans="1:12" s="65" customFormat="1" ht="19.5" customHeight="1">
      <c r="A101" s="86"/>
      <c r="B101" s="86"/>
      <c r="C101" s="82">
        <v>2024</v>
      </c>
      <c r="D101" s="86">
        <f t="shared" si="11"/>
        <v>0</v>
      </c>
      <c r="E101" s="86">
        <v>0</v>
      </c>
      <c r="F101" s="86"/>
      <c r="G101" s="86"/>
      <c r="H101" s="86">
        <v>0</v>
      </c>
      <c r="I101" s="86">
        <v>0</v>
      </c>
      <c r="J101" s="97"/>
      <c r="K101" s="106"/>
      <c r="L101" s="86"/>
    </row>
    <row r="102" spans="1:12" s="65" customFormat="1" ht="19.5" customHeight="1">
      <c r="A102" s="86"/>
      <c r="B102" s="86"/>
      <c r="C102" s="82">
        <v>2025</v>
      </c>
      <c r="D102" s="86">
        <v>0</v>
      </c>
      <c r="E102" s="86">
        <v>0</v>
      </c>
      <c r="F102" s="86"/>
      <c r="G102" s="86"/>
      <c r="H102" s="86">
        <v>0</v>
      </c>
      <c r="I102" s="86">
        <v>0</v>
      </c>
      <c r="J102" s="97"/>
      <c r="K102" s="107"/>
      <c r="L102" s="86"/>
    </row>
    <row r="103" spans="1:12" s="65" customFormat="1" ht="19.5" customHeight="1">
      <c r="A103" s="86" t="s">
        <v>79</v>
      </c>
      <c r="B103" s="86" t="s">
        <v>80</v>
      </c>
      <c r="C103" s="82">
        <v>2017</v>
      </c>
      <c r="D103" s="86">
        <f>I103</f>
        <v>5</v>
      </c>
      <c r="E103" s="86">
        <v>0</v>
      </c>
      <c r="F103" s="86"/>
      <c r="G103" s="86"/>
      <c r="H103" s="86">
        <v>0</v>
      </c>
      <c r="I103" s="86">
        <v>5</v>
      </c>
      <c r="J103" s="97"/>
      <c r="K103" s="86" t="s">
        <v>55</v>
      </c>
      <c r="L103" s="86" t="s">
        <v>81</v>
      </c>
    </row>
    <row r="104" spans="1:12" s="65" customFormat="1" ht="19.5" customHeight="1">
      <c r="A104" s="86"/>
      <c r="B104" s="86"/>
      <c r="C104" s="82">
        <v>2018</v>
      </c>
      <c r="D104" s="86">
        <f aca="true" t="shared" si="12" ref="D104:D105">SUM(E104:I104)</f>
        <v>0</v>
      </c>
      <c r="E104" s="86">
        <v>0</v>
      </c>
      <c r="F104" s="86"/>
      <c r="G104" s="86"/>
      <c r="H104" s="86">
        <v>0</v>
      </c>
      <c r="I104" s="86">
        <v>0</v>
      </c>
      <c r="J104" s="97"/>
      <c r="K104" s="86"/>
      <c r="L104" s="86"/>
    </row>
    <row r="105" spans="1:12" s="65" customFormat="1" ht="19.5" customHeight="1">
      <c r="A105" s="86"/>
      <c r="B105" s="86"/>
      <c r="C105" s="82">
        <v>2019</v>
      </c>
      <c r="D105" s="86">
        <f t="shared" si="12"/>
        <v>0</v>
      </c>
      <c r="E105" s="86">
        <v>0</v>
      </c>
      <c r="F105" s="86"/>
      <c r="G105" s="86"/>
      <c r="H105" s="86">
        <v>0</v>
      </c>
      <c r="I105" s="86">
        <v>0</v>
      </c>
      <c r="J105" s="97"/>
      <c r="K105" s="86"/>
      <c r="L105" s="86"/>
    </row>
    <row r="106" spans="1:12" s="65" customFormat="1" ht="19.5" customHeight="1">
      <c r="A106" s="86"/>
      <c r="B106" s="86"/>
      <c r="C106" s="82">
        <v>2020</v>
      </c>
      <c r="D106" s="86">
        <f aca="true" t="shared" si="13" ref="D106:D110">I106</f>
        <v>0</v>
      </c>
      <c r="E106" s="86">
        <v>0</v>
      </c>
      <c r="F106" s="86"/>
      <c r="G106" s="86"/>
      <c r="H106" s="86">
        <v>0</v>
      </c>
      <c r="I106" s="86">
        <v>0</v>
      </c>
      <c r="J106" s="97"/>
      <c r="K106" s="86"/>
      <c r="L106" s="86"/>
    </row>
    <row r="107" spans="1:12" s="65" customFormat="1" ht="19.5" customHeight="1">
      <c r="A107" s="86"/>
      <c r="B107" s="86"/>
      <c r="C107" s="82">
        <v>2021</v>
      </c>
      <c r="D107" s="86">
        <f t="shared" si="13"/>
        <v>0</v>
      </c>
      <c r="E107" s="86">
        <v>0</v>
      </c>
      <c r="F107" s="86"/>
      <c r="G107" s="86"/>
      <c r="H107" s="86">
        <v>0</v>
      </c>
      <c r="I107" s="86">
        <v>0</v>
      </c>
      <c r="J107" s="97"/>
      <c r="K107" s="86"/>
      <c r="L107" s="86"/>
    </row>
    <row r="108" spans="1:12" s="65" customFormat="1" ht="19.5" customHeight="1">
      <c r="A108" s="86"/>
      <c r="B108" s="86"/>
      <c r="C108" s="82">
        <v>2022</v>
      </c>
      <c r="D108" s="86">
        <f t="shared" si="13"/>
        <v>0</v>
      </c>
      <c r="E108" s="86">
        <v>0</v>
      </c>
      <c r="F108" s="86"/>
      <c r="G108" s="86"/>
      <c r="H108" s="86">
        <v>0</v>
      </c>
      <c r="I108" s="86">
        <v>0</v>
      </c>
      <c r="J108" s="97"/>
      <c r="K108" s="86"/>
      <c r="L108" s="86"/>
    </row>
    <row r="109" spans="1:12" s="65" customFormat="1" ht="19.5" customHeight="1">
      <c r="A109" s="86"/>
      <c r="B109" s="86"/>
      <c r="C109" s="82">
        <v>2023</v>
      </c>
      <c r="D109" s="86">
        <f t="shared" si="13"/>
        <v>0</v>
      </c>
      <c r="E109" s="86">
        <v>0</v>
      </c>
      <c r="F109" s="86"/>
      <c r="G109" s="86"/>
      <c r="H109" s="86">
        <v>0</v>
      </c>
      <c r="I109" s="86">
        <v>0</v>
      </c>
      <c r="J109" s="97"/>
      <c r="K109" s="86"/>
      <c r="L109" s="86"/>
    </row>
    <row r="110" spans="1:12" s="65" customFormat="1" ht="19.5" customHeight="1">
      <c r="A110" s="86"/>
      <c r="B110" s="86"/>
      <c r="C110" s="82">
        <v>2024</v>
      </c>
      <c r="D110" s="86">
        <f t="shared" si="13"/>
        <v>0</v>
      </c>
      <c r="E110" s="86">
        <v>0</v>
      </c>
      <c r="F110" s="86"/>
      <c r="G110" s="86"/>
      <c r="H110" s="86">
        <v>0</v>
      </c>
      <c r="I110" s="86">
        <v>0</v>
      </c>
      <c r="J110" s="97"/>
      <c r="K110" s="86"/>
      <c r="L110" s="86"/>
    </row>
    <row r="111" spans="1:12" s="65" customFormat="1" ht="19.5" customHeight="1">
      <c r="A111" s="86"/>
      <c r="B111" s="86"/>
      <c r="C111" s="82">
        <v>2025</v>
      </c>
      <c r="D111" s="86">
        <v>0</v>
      </c>
      <c r="E111" s="86">
        <v>0</v>
      </c>
      <c r="F111" s="86"/>
      <c r="G111" s="86"/>
      <c r="H111" s="86">
        <v>0</v>
      </c>
      <c r="I111" s="86">
        <v>0</v>
      </c>
      <c r="J111" s="97"/>
      <c r="K111" s="86"/>
      <c r="L111" s="86"/>
    </row>
    <row r="112" spans="1:12" s="65" customFormat="1" ht="19.5" customHeight="1">
      <c r="A112" s="86" t="s">
        <v>82</v>
      </c>
      <c r="B112" s="86" t="s">
        <v>83</v>
      </c>
      <c r="C112" s="82">
        <v>2017</v>
      </c>
      <c r="D112" s="86">
        <f>I112</f>
        <v>80</v>
      </c>
      <c r="E112" s="86">
        <v>0</v>
      </c>
      <c r="F112" s="86"/>
      <c r="G112" s="86"/>
      <c r="H112" s="86">
        <v>0</v>
      </c>
      <c r="I112" s="86">
        <v>80</v>
      </c>
      <c r="J112" s="97"/>
      <c r="K112" s="86" t="s">
        <v>55</v>
      </c>
      <c r="L112" s="86" t="s">
        <v>84</v>
      </c>
    </row>
    <row r="113" spans="1:12" s="65" customFormat="1" ht="19.5" customHeight="1">
      <c r="A113" s="86"/>
      <c r="B113" s="86"/>
      <c r="C113" s="82">
        <v>2018</v>
      </c>
      <c r="D113" s="86">
        <f>E113+H113+I113</f>
        <v>0</v>
      </c>
      <c r="E113" s="86">
        <v>0</v>
      </c>
      <c r="F113" s="86"/>
      <c r="G113" s="86"/>
      <c r="H113" s="108">
        <v>0</v>
      </c>
      <c r="I113" s="86">
        <v>0</v>
      </c>
      <c r="J113" s="97"/>
      <c r="K113" s="86"/>
      <c r="L113" s="86"/>
    </row>
    <row r="114" spans="1:12" s="65" customFormat="1" ht="19.5" customHeight="1">
      <c r="A114" s="86"/>
      <c r="B114" s="86"/>
      <c r="C114" s="82">
        <v>2019</v>
      </c>
      <c r="D114" s="86">
        <f aca="true" t="shared" si="14" ref="D114:D115">SUM(E114:I114)</f>
        <v>0</v>
      </c>
      <c r="E114" s="86">
        <v>0</v>
      </c>
      <c r="F114" s="86"/>
      <c r="G114" s="86"/>
      <c r="H114" s="108">
        <v>0</v>
      </c>
      <c r="I114" s="86">
        <v>0</v>
      </c>
      <c r="J114" s="97" t="s">
        <v>71</v>
      </c>
      <c r="K114" s="86"/>
      <c r="L114" s="86"/>
    </row>
    <row r="115" spans="1:12" s="65" customFormat="1" ht="19.5" customHeight="1">
      <c r="A115" s="86"/>
      <c r="B115" s="86"/>
      <c r="C115" s="82">
        <v>2020</v>
      </c>
      <c r="D115" s="86">
        <f t="shared" si="14"/>
        <v>12.2</v>
      </c>
      <c r="E115" s="86">
        <v>0</v>
      </c>
      <c r="F115" s="86"/>
      <c r="G115" s="86"/>
      <c r="H115" s="108">
        <v>0</v>
      </c>
      <c r="I115" s="86">
        <v>12.2</v>
      </c>
      <c r="J115" s="97"/>
      <c r="K115" s="86"/>
      <c r="L115" s="86"/>
    </row>
    <row r="116" spans="1:12" s="65" customFormat="1" ht="19.5" customHeight="1">
      <c r="A116" s="86"/>
      <c r="B116" s="86"/>
      <c r="C116" s="82">
        <v>2021</v>
      </c>
      <c r="D116" s="86">
        <f aca="true" t="shared" si="15" ref="D116:D120">I116</f>
        <v>14.25</v>
      </c>
      <c r="E116" s="86">
        <v>0</v>
      </c>
      <c r="F116" s="86"/>
      <c r="G116" s="86"/>
      <c r="H116" s="108">
        <v>0</v>
      </c>
      <c r="I116" s="86">
        <v>14.25</v>
      </c>
      <c r="J116" s="97"/>
      <c r="K116" s="86"/>
      <c r="L116" s="86"/>
    </row>
    <row r="117" spans="1:12" s="65" customFormat="1" ht="19.5" customHeight="1">
      <c r="A117" s="86"/>
      <c r="B117" s="86"/>
      <c r="C117" s="82">
        <v>2022</v>
      </c>
      <c r="D117" s="86">
        <f t="shared" si="15"/>
        <v>50</v>
      </c>
      <c r="E117" s="86">
        <v>0</v>
      </c>
      <c r="F117" s="86"/>
      <c r="G117" s="86"/>
      <c r="H117" s="108">
        <v>0</v>
      </c>
      <c r="I117" s="86">
        <v>50</v>
      </c>
      <c r="J117" s="97"/>
      <c r="K117" s="86"/>
      <c r="L117" s="86"/>
    </row>
    <row r="118" spans="1:12" s="65" customFormat="1" ht="19.5" customHeight="1">
      <c r="A118" s="86"/>
      <c r="B118" s="86"/>
      <c r="C118" s="109">
        <v>2023</v>
      </c>
      <c r="D118" s="110">
        <f t="shared" si="15"/>
        <v>30</v>
      </c>
      <c r="E118" s="110">
        <v>0</v>
      </c>
      <c r="F118" s="110"/>
      <c r="G118" s="110"/>
      <c r="H118" s="111">
        <v>0</v>
      </c>
      <c r="I118" s="110">
        <v>30</v>
      </c>
      <c r="J118" s="97"/>
      <c r="K118" s="86"/>
      <c r="L118" s="86"/>
    </row>
    <row r="119" spans="1:12" s="65" customFormat="1" ht="19.5" customHeight="1">
      <c r="A119" s="86"/>
      <c r="B119" s="86"/>
      <c r="C119" s="82">
        <v>2024</v>
      </c>
      <c r="D119" s="86">
        <f t="shared" si="15"/>
        <v>10</v>
      </c>
      <c r="E119" s="86">
        <v>0</v>
      </c>
      <c r="F119" s="86"/>
      <c r="G119" s="86"/>
      <c r="H119" s="108">
        <v>0</v>
      </c>
      <c r="I119" s="86">
        <v>10</v>
      </c>
      <c r="J119" s="97"/>
      <c r="K119" s="86"/>
      <c r="L119" s="86"/>
    </row>
    <row r="120" spans="1:12" s="65" customFormat="1" ht="19.5" customHeight="1">
      <c r="A120" s="86"/>
      <c r="B120" s="86"/>
      <c r="C120" s="82">
        <v>2025</v>
      </c>
      <c r="D120" s="86">
        <f t="shared" si="15"/>
        <v>10</v>
      </c>
      <c r="E120" s="86">
        <v>0</v>
      </c>
      <c r="F120" s="86"/>
      <c r="G120" s="86"/>
      <c r="H120" s="108">
        <v>0</v>
      </c>
      <c r="I120" s="86">
        <v>10</v>
      </c>
      <c r="J120" s="97"/>
      <c r="K120" s="86"/>
      <c r="L120" s="86"/>
    </row>
    <row r="121" spans="1:12" s="65" customFormat="1" ht="19.5" customHeight="1">
      <c r="A121" s="86" t="s">
        <v>85</v>
      </c>
      <c r="B121" s="86" t="s">
        <v>86</v>
      </c>
      <c r="C121" s="82">
        <v>2017</v>
      </c>
      <c r="D121" s="86">
        <f>SUM(E121:I121)</f>
        <v>500</v>
      </c>
      <c r="E121" s="86">
        <v>0</v>
      </c>
      <c r="F121" s="86"/>
      <c r="G121" s="86"/>
      <c r="H121" s="108">
        <v>0</v>
      </c>
      <c r="I121" s="86">
        <v>500</v>
      </c>
      <c r="J121" s="97"/>
      <c r="K121" s="86" t="s">
        <v>55</v>
      </c>
      <c r="L121" s="86" t="s">
        <v>87</v>
      </c>
    </row>
    <row r="122" spans="1:12" s="65" customFormat="1" ht="19.5" customHeight="1">
      <c r="A122" s="86"/>
      <c r="B122" s="86"/>
      <c r="C122" s="82">
        <v>2017</v>
      </c>
      <c r="D122" s="86">
        <f aca="true" t="shared" si="16" ref="D122:D123">I122</f>
        <v>374.024</v>
      </c>
      <c r="E122" s="86">
        <v>0</v>
      </c>
      <c r="F122" s="86"/>
      <c r="G122" s="86"/>
      <c r="H122" s="108">
        <v>0</v>
      </c>
      <c r="I122" s="86">
        <v>374.024</v>
      </c>
      <c r="J122" s="97"/>
      <c r="K122" s="86"/>
      <c r="L122" s="86"/>
    </row>
    <row r="123" spans="1:12" s="65" customFormat="1" ht="19.5" customHeight="1">
      <c r="A123" s="86"/>
      <c r="B123" s="86"/>
      <c r="C123" s="82">
        <v>2017</v>
      </c>
      <c r="D123" s="86">
        <f t="shared" si="16"/>
        <v>234.9695</v>
      </c>
      <c r="E123" s="86">
        <v>0</v>
      </c>
      <c r="F123" s="86"/>
      <c r="G123" s="86"/>
      <c r="H123" s="108">
        <v>0</v>
      </c>
      <c r="I123" s="86">
        <v>234.9695</v>
      </c>
      <c r="J123" s="97"/>
      <c r="K123" s="86"/>
      <c r="L123" s="86"/>
    </row>
    <row r="124" spans="1:12" s="65" customFormat="1" ht="19.5" customHeight="1">
      <c r="A124" s="86"/>
      <c r="B124" s="86"/>
      <c r="C124" s="82">
        <v>2018</v>
      </c>
      <c r="D124" s="86">
        <f>SUM(E124:I124)</f>
        <v>359</v>
      </c>
      <c r="E124" s="86">
        <v>0</v>
      </c>
      <c r="F124" s="86"/>
      <c r="G124" s="86"/>
      <c r="H124" s="108">
        <v>0</v>
      </c>
      <c r="I124" s="86">
        <f>50+309</f>
        <v>359</v>
      </c>
      <c r="J124" s="97"/>
      <c r="K124" s="86"/>
      <c r="L124" s="86"/>
    </row>
    <row r="125" spans="1:12" s="65" customFormat="1" ht="19.5" customHeight="1">
      <c r="A125" s="86"/>
      <c r="B125" s="86"/>
      <c r="C125" s="82">
        <v>2019</v>
      </c>
      <c r="D125" s="86">
        <f>I125</f>
        <v>378.499</v>
      </c>
      <c r="E125" s="86">
        <v>0</v>
      </c>
      <c r="F125" s="86"/>
      <c r="G125" s="86"/>
      <c r="H125" s="108">
        <v>0</v>
      </c>
      <c r="I125" s="86">
        <v>378.499</v>
      </c>
      <c r="J125" s="97"/>
      <c r="K125" s="86"/>
      <c r="L125" s="86"/>
    </row>
    <row r="126" spans="1:12" s="65" customFormat="1" ht="19.5" customHeight="1">
      <c r="A126" s="86"/>
      <c r="B126" s="86"/>
      <c r="C126" s="82">
        <v>2020</v>
      </c>
      <c r="D126" s="86">
        <f>SUM(E126:I126)</f>
        <v>5</v>
      </c>
      <c r="E126" s="86">
        <v>0</v>
      </c>
      <c r="F126" s="86"/>
      <c r="G126" s="86"/>
      <c r="H126" s="108">
        <v>0</v>
      </c>
      <c r="I126" s="86">
        <v>5</v>
      </c>
      <c r="J126" s="97"/>
      <c r="K126" s="86"/>
      <c r="L126" s="86"/>
    </row>
    <row r="127" spans="1:12" s="65" customFormat="1" ht="19.5" customHeight="1">
      <c r="A127" s="86"/>
      <c r="B127" s="86"/>
      <c r="C127" s="82">
        <v>2021</v>
      </c>
      <c r="D127" s="86">
        <f aca="true" t="shared" si="17" ref="D127:D136">I127</f>
        <v>0</v>
      </c>
      <c r="E127" s="86">
        <v>0</v>
      </c>
      <c r="F127" s="86"/>
      <c r="G127" s="86"/>
      <c r="H127" s="108">
        <v>0</v>
      </c>
      <c r="I127" s="86">
        <v>0</v>
      </c>
      <c r="J127" s="97"/>
      <c r="K127" s="93"/>
      <c r="L127" s="86"/>
    </row>
    <row r="128" spans="1:12" s="65" customFormat="1" ht="19.5" customHeight="1">
      <c r="A128" s="86"/>
      <c r="B128" s="86"/>
      <c r="C128" s="82">
        <v>2022</v>
      </c>
      <c r="D128" s="86">
        <f t="shared" si="17"/>
        <v>832</v>
      </c>
      <c r="E128" s="86">
        <v>0</v>
      </c>
      <c r="F128" s="86"/>
      <c r="G128" s="86"/>
      <c r="H128" s="108">
        <v>0</v>
      </c>
      <c r="I128" s="86">
        <f>332+500</f>
        <v>832</v>
      </c>
      <c r="J128" s="97"/>
      <c r="K128" s="86" t="s">
        <v>88</v>
      </c>
      <c r="L128" s="86"/>
    </row>
    <row r="129" spans="1:12" s="65" customFormat="1" ht="19.5" customHeight="1">
      <c r="A129" s="86"/>
      <c r="B129" s="86"/>
      <c r="C129" s="82">
        <v>2022</v>
      </c>
      <c r="D129" s="86">
        <f t="shared" si="17"/>
        <v>668</v>
      </c>
      <c r="E129" s="86">
        <v>0</v>
      </c>
      <c r="F129" s="86"/>
      <c r="G129" s="86"/>
      <c r="H129" s="108">
        <v>0</v>
      </c>
      <c r="I129" s="86">
        <v>668</v>
      </c>
      <c r="J129" s="97"/>
      <c r="K129" s="86"/>
      <c r="L129" s="86"/>
    </row>
    <row r="130" spans="1:12" s="65" customFormat="1" ht="30" customHeight="1">
      <c r="A130" s="86"/>
      <c r="B130" s="86"/>
      <c r="C130" s="82">
        <v>2022</v>
      </c>
      <c r="D130" s="95">
        <f t="shared" si="17"/>
        <v>225</v>
      </c>
      <c r="E130" s="95">
        <v>0</v>
      </c>
      <c r="F130" s="95"/>
      <c r="G130" s="95"/>
      <c r="H130" s="112">
        <v>0</v>
      </c>
      <c r="I130" s="95">
        <v>225</v>
      </c>
      <c r="J130" s="97"/>
      <c r="K130" s="93" t="s">
        <v>89</v>
      </c>
      <c r="L130" s="86"/>
    </row>
    <row r="131" spans="1:12" s="65" customFormat="1" ht="33.75" customHeight="1">
      <c r="A131" s="86"/>
      <c r="B131" s="86"/>
      <c r="C131" s="109">
        <v>2023</v>
      </c>
      <c r="D131" s="110">
        <f t="shared" si="17"/>
        <v>375.38</v>
      </c>
      <c r="E131" s="110">
        <v>0</v>
      </c>
      <c r="F131" s="110"/>
      <c r="G131" s="110"/>
      <c r="H131" s="111">
        <v>0</v>
      </c>
      <c r="I131" s="110">
        <v>375.38</v>
      </c>
      <c r="J131" s="97"/>
      <c r="K131" s="93" t="s">
        <v>55</v>
      </c>
      <c r="L131" s="86"/>
    </row>
    <row r="132" spans="1:12" s="65" customFormat="1" ht="19.5" customHeight="1">
      <c r="A132" s="86"/>
      <c r="B132" s="86"/>
      <c r="C132" s="82">
        <v>2024</v>
      </c>
      <c r="D132" s="95">
        <f t="shared" si="17"/>
        <v>0</v>
      </c>
      <c r="E132" s="95">
        <v>0</v>
      </c>
      <c r="F132" s="95"/>
      <c r="G132" s="95"/>
      <c r="H132" s="112">
        <v>0</v>
      </c>
      <c r="I132" s="95">
        <v>0</v>
      </c>
      <c r="J132" s="97"/>
      <c r="K132" s="113"/>
      <c r="L132" s="86"/>
    </row>
    <row r="133" spans="1:12" s="65" customFormat="1" ht="19.5" customHeight="1">
      <c r="A133" s="86"/>
      <c r="B133" s="86"/>
      <c r="C133" s="82">
        <v>2024</v>
      </c>
      <c r="D133" s="86">
        <f t="shared" si="17"/>
        <v>0</v>
      </c>
      <c r="E133" s="86">
        <v>0</v>
      </c>
      <c r="F133" s="86"/>
      <c r="G133" s="86"/>
      <c r="H133" s="108">
        <v>0</v>
      </c>
      <c r="I133" s="86">
        <v>0</v>
      </c>
      <c r="J133" s="97"/>
      <c r="K133" s="93"/>
      <c r="L133" s="86"/>
    </row>
    <row r="134" spans="1:12" s="65" customFormat="1" ht="19.5" customHeight="1">
      <c r="A134" s="86"/>
      <c r="B134" s="86"/>
      <c r="C134" s="82">
        <v>2025</v>
      </c>
      <c r="D134" s="86">
        <f t="shared" si="17"/>
        <v>0</v>
      </c>
      <c r="E134" s="86">
        <v>0</v>
      </c>
      <c r="F134" s="86"/>
      <c r="G134" s="86"/>
      <c r="H134" s="108">
        <v>0</v>
      </c>
      <c r="I134" s="86">
        <v>0</v>
      </c>
      <c r="J134" s="97"/>
      <c r="K134" s="113"/>
      <c r="L134" s="86"/>
    </row>
    <row r="135" spans="1:12" s="65" customFormat="1" ht="19.5" customHeight="1">
      <c r="A135" s="86"/>
      <c r="B135" s="86"/>
      <c r="C135" s="82">
        <v>2025</v>
      </c>
      <c r="D135" s="86">
        <f t="shared" si="17"/>
        <v>0</v>
      </c>
      <c r="E135" s="86">
        <v>0</v>
      </c>
      <c r="F135" s="86"/>
      <c r="G135" s="86"/>
      <c r="H135" s="108">
        <v>0</v>
      </c>
      <c r="I135" s="86">
        <v>0</v>
      </c>
      <c r="J135" s="97"/>
      <c r="K135" s="93"/>
      <c r="L135" s="86"/>
    </row>
    <row r="136" spans="1:12" s="65" customFormat="1" ht="19.5" customHeight="1">
      <c r="A136" s="86" t="s">
        <v>90</v>
      </c>
      <c r="B136" s="86" t="s">
        <v>91</v>
      </c>
      <c r="C136" s="82">
        <v>2017</v>
      </c>
      <c r="D136" s="86">
        <f t="shared" si="17"/>
        <v>65.8528</v>
      </c>
      <c r="E136" s="86">
        <v>0</v>
      </c>
      <c r="F136" s="86"/>
      <c r="G136" s="86"/>
      <c r="H136" s="108">
        <v>0</v>
      </c>
      <c r="I136" s="86">
        <v>65.8528</v>
      </c>
      <c r="J136" s="97"/>
      <c r="K136" s="86" t="s">
        <v>92</v>
      </c>
      <c r="L136" s="114" t="s">
        <v>93</v>
      </c>
    </row>
    <row r="137" spans="1:12" s="65" customFormat="1" ht="19.5" customHeight="1">
      <c r="A137" s="86"/>
      <c r="B137" s="86"/>
      <c r="C137" s="82">
        <v>2018</v>
      </c>
      <c r="D137" s="86">
        <f aca="true" t="shared" si="18" ref="D137:D138">SUM(E137:I137)</f>
        <v>60</v>
      </c>
      <c r="E137" s="86">
        <v>0</v>
      </c>
      <c r="F137" s="86"/>
      <c r="G137" s="86"/>
      <c r="H137" s="108">
        <v>0</v>
      </c>
      <c r="I137" s="86">
        <v>60</v>
      </c>
      <c r="J137" s="97"/>
      <c r="K137" s="86"/>
      <c r="L137" s="114"/>
    </row>
    <row r="138" spans="1:12" s="65" customFormat="1" ht="19.5" customHeight="1">
      <c r="A138" s="86"/>
      <c r="B138" s="86"/>
      <c r="C138" s="82">
        <v>2019</v>
      </c>
      <c r="D138" s="86">
        <f t="shared" si="18"/>
        <v>60</v>
      </c>
      <c r="E138" s="86">
        <v>0</v>
      </c>
      <c r="F138" s="86"/>
      <c r="G138" s="86"/>
      <c r="H138" s="108">
        <v>0</v>
      </c>
      <c r="I138" s="86">
        <v>60</v>
      </c>
      <c r="J138" s="97"/>
      <c r="K138" s="86"/>
      <c r="L138" s="114"/>
    </row>
    <row r="139" spans="1:12" s="65" customFormat="1" ht="19.5" customHeight="1">
      <c r="A139" s="86"/>
      <c r="B139" s="86"/>
      <c r="C139" s="82">
        <v>2020</v>
      </c>
      <c r="D139" s="86">
        <f aca="true" t="shared" si="19" ref="D139:D152">I139</f>
        <v>113.39208</v>
      </c>
      <c r="E139" s="86">
        <v>0</v>
      </c>
      <c r="F139" s="86"/>
      <c r="G139" s="86"/>
      <c r="H139" s="108">
        <v>0</v>
      </c>
      <c r="I139" s="86">
        <v>113.39208</v>
      </c>
      <c r="J139" s="97"/>
      <c r="K139" s="86"/>
      <c r="L139" s="114"/>
    </row>
    <row r="140" spans="1:12" s="65" customFormat="1" ht="19.5" customHeight="1">
      <c r="A140" s="86"/>
      <c r="B140" s="86"/>
      <c r="C140" s="82">
        <v>2021</v>
      </c>
      <c r="D140" s="86">
        <f t="shared" si="19"/>
        <v>130</v>
      </c>
      <c r="E140" s="86">
        <v>0</v>
      </c>
      <c r="F140" s="86"/>
      <c r="G140" s="86"/>
      <c r="H140" s="108">
        <v>0</v>
      </c>
      <c r="I140" s="86">
        <f>60+70</f>
        <v>130</v>
      </c>
      <c r="J140" s="97"/>
      <c r="K140" s="86"/>
      <c r="L140" s="114"/>
    </row>
    <row r="141" spans="1:12" s="65" customFormat="1" ht="19.5" customHeight="1">
      <c r="A141" s="86"/>
      <c r="B141" s="86"/>
      <c r="C141" s="82">
        <v>2022</v>
      </c>
      <c r="D141" s="86">
        <f t="shared" si="19"/>
        <v>176.933</v>
      </c>
      <c r="E141" s="86">
        <v>0</v>
      </c>
      <c r="F141" s="86"/>
      <c r="G141" s="86"/>
      <c r="H141" s="108">
        <v>0</v>
      </c>
      <c r="I141" s="86">
        <f>60+70+46.933</f>
        <v>176.933</v>
      </c>
      <c r="J141" s="97"/>
      <c r="K141" s="86"/>
      <c r="L141" s="114"/>
    </row>
    <row r="142" spans="1:12" s="65" customFormat="1" ht="19.5" customHeight="1">
      <c r="A142" s="86"/>
      <c r="B142" s="86"/>
      <c r="C142" s="101">
        <v>2023</v>
      </c>
      <c r="D142" s="102">
        <f t="shared" si="19"/>
        <v>124.816</v>
      </c>
      <c r="E142" s="102">
        <v>0</v>
      </c>
      <c r="F142" s="102"/>
      <c r="G142" s="102"/>
      <c r="H142" s="115">
        <v>0</v>
      </c>
      <c r="I142" s="102">
        <f>60+64.816</f>
        <v>124.816</v>
      </c>
      <c r="J142" s="97"/>
      <c r="K142" s="86"/>
      <c r="L142" s="114"/>
    </row>
    <row r="143" spans="1:12" s="65" customFormat="1" ht="19.5" customHeight="1">
      <c r="A143" s="86"/>
      <c r="B143" s="86"/>
      <c r="C143" s="82">
        <v>2024</v>
      </c>
      <c r="D143" s="86">
        <f t="shared" si="19"/>
        <v>60</v>
      </c>
      <c r="E143" s="86">
        <v>0</v>
      </c>
      <c r="F143" s="86"/>
      <c r="G143" s="86"/>
      <c r="H143" s="108">
        <v>0</v>
      </c>
      <c r="I143" s="86">
        <v>60</v>
      </c>
      <c r="J143" s="97"/>
      <c r="K143" s="86"/>
      <c r="L143" s="114"/>
    </row>
    <row r="144" spans="1:12" s="65" customFormat="1" ht="19.5" customHeight="1">
      <c r="A144" s="86"/>
      <c r="B144" s="86"/>
      <c r="C144" s="82">
        <v>2025</v>
      </c>
      <c r="D144" s="86">
        <f t="shared" si="19"/>
        <v>60</v>
      </c>
      <c r="E144" s="86">
        <v>0</v>
      </c>
      <c r="F144" s="86"/>
      <c r="G144" s="86"/>
      <c r="H144" s="108">
        <v>0</v>
      </c>
      <c r="I144" s="86">
        <v>60</v>
      </c>
      <c r="J144" s="97"/>
      <c r="K144" s="86"/>
      <c r="L144" s="114"/>
    </row>
    <row r="145" spans="1:12" s="65" customFormat="1" ht="19.5" customHeight="1">
      <c r="A145" s="86" t="s">
        <v>94</v>
      </c>
      <c r="B145" s="86" t="s">
        <v>95</v>
      </c>
      <c r="C145" s="82">
        <v>2017</v>
      </c>
      <c r="D145" s="86">
        <f t="shared" si="19"/>
        <v>100</v>
      </c>
      <c r="E145" s="86">
        <v>0</v>
      </c>
      <c r="F145" s="86"/>
      <c r="G145" s="86"/>
      <c r="H145" s="108">
        <v>0</v>
      </c>
      <c r="I145" s="86">
        <v>100</v>
      </c>
      <c r="J145" s="97"/>
      <c r="K145" s="86" t="s">
        <v>55</v>
      </c>
      <c r="L145" s="114"/>
    </row>
    <row r="146" spans="1:12" s="65" customFormat="1" ht="19.5" customHeight="1">
      <c r="A146" s="86"/>
      <c r="B146" s="86"/>
      <c r="C146" s="82"/>
      <c r="D146" s="86">
        <f t="shared" si="19"/>
        <v>35</v>
      </c>
      <c r="E146" s="86">
        <v>0</v>
      </c>
      <c r="F146" s="86"/>
      <c r="G146" s="86"/>
      <c r="H146" s="108">
        <v>0</v>
      </c>
      <c r="I146" s="86">
        <v>35</v>
      </c>
      <c r="J146" s="97"/>
      <c r="K146" s="86"/>
      <c r="L146" s="114"/>
    </row>
    <row r="147" spans="1:12" s="65" customFormat="1" ht="19.5" customHeight="1">
      <c r="A147" s="86"/>
      <c r="B147" s="86"/>
      <c r="C147" s="82">
        <v>2018</v>
      </c>
      <c r="D147" s="86">
        <f t="shared" si="19"/>
        <v>0</v>
      </c>
      <c r="E147" s="86">
        <v>0</v>
      </c>
      <c r="F147" s="86"/>
      <c r="G147" s="86"/>
      <c r="H147" s="108">
        <v>0</v>
      </c>
      <c r="I147" s="86">
        <v>0</v>
      </c>
      <c r="J147" s="97"/>
      <c r="K147" s="86"/>
      <c r="L147" s="114"/>
    </row>
    <row r="148" spans="1:12" s="65" customFormat="1" ht="19.5" customHeight="1">
      <c r="A148" s="86"/>
      <c r="B148" s="86"/>
      <c r="C148" s="82">
        <v>2019</v>
      </c>
      <c r="D148" s="86">
        <f t="shared" si="19"/>
        <v>0</v>
      </c>
      <c r="E148" s="86">
        <v>0</v>
      </c>
      <c r="F148" s="86"/>
      <c r="G148" s="86"/>
      <c r="H148" s="108">
        <v>0</v>
      </c>
      <c r="I148" s="86">
        <v>0</v>
      </c>
      <c r="J148" s="97"/>
      <c r="K148" s="86"/>
      <c r="L148" s="114"/>
    </row>
    <row r="149" spans="1:12" s="65" customFormat="1" ht="19.5" customHeight="1">
      <c r="A149" s="86"/>
      <c r="B149" s="86"/>
      <c r="C149" s="82">
        <v>2020</v>
      </c>
      <c r="D149" s="86">
        <f t="shared" si="19"/>
        <v>0</v>
      </c>
      <c r="E149" s="86">
        <v>0</v>
      </c>
      <c r="F149" s="86"/>
      <c r="G149" s="86"/>
      <c r="H149" s="108">
        <v>0</v>
      </c>
      <c r="I149" s="86">
        <v>0</v>
      </c>
      <c r="J149" s="97"/>
      <c r="K149" s="86"/>
      <c r="L149" s="114"/>
    </row>
    <row r="150" spans="1:12" s="65" customFormat="1" ht="19.5" customHeight="1">
      <c r="A150" s="86"/>
      <c r="B150" s="86"/>
      <c r="C150" s="82">
        <v>2021</v>
      </c>
      <c r="D150" s="86">
        <f t="shared" si="19"/>
        <v>0</v>
      </c>
      <c r="E150" s="86">
        <f>I150</f>
        <v>0</v>
      </c>
      <c r="F150" s="86"/>
      <c r="G150" s="86"/>
      <c r="H150" s="108">
        <v>0</v>
      </c>
      <c r="I150" s="86">
        <v>0</v>
      </c>
      <c r="J150" s="97"/>
      <c r="K150" s="86"/>
      <c r="L150" s="114"/>
    </row>
    <row r="151" spans="1:12" s="65" customFormat="1" ht="19.5" customHeight="1">
      <c r="A151" s="86"/>
      <c r="B151" s="86"/>
      <c r="C151" s="82">
        <v>2022</v>
      </c>
      <c r="D151" s="86">
        <f t="shared" si="19"/>
        <v>0</v>
      </c>
      <c r="E151" s="86">
        <v>0</v>
      </c>
      <c r="F151" s="86"/>
      <c r="G151" s="86"/>
      <c r="H151" s="108">
        <v>0</v>
      </c>
      <c r="I151" s="86">
        <v>0</v>
      </c>
      <c r="J151" s="97"/>
      <c r="K151" s="86"/>
      <c r="L151" s="114"/>
    </row>
    <row r="152" spans="1:12" s="65" customFormat="1" ht="19.5" customHeight="1">
      <c r="A152" s="86"/>
      <c r="B152" s="86"/>
      <c r="C152" s="82">
        <v>2023</v>
      </c>
      <c r="D152" s="86">
        <f t="shared" si="19"/>
        <v>0</v>
      </c>
      <c r="E152" s="86">
        <f>I152</f>
        <v>0</v>
      </c>
      <c r="F152" s="86"/>
      <c r="G152" s="86"/>
      <c r="H152" s="108">
        <v>0</v>
      </c>
      <c r="I152" s="86">
        <v>0</v>
      </c>
      <c r="J152" s="97"/>
      <c r="K152" s="86"/>
      <c r="L152" s="114"/>
    </row>
    <row r="153" spans="1:12" s="65" customFormat="1" ht="19.5" customHeight="1">
      <c r="A153" s="86"/>
      <c r="B153" s="86"/>
      <c r="C153" s="82">
        <v>2024</v>
      </c>
      <c r="D153" s="86">
        <v>0</v>
      </c>
      <c r="E153" s="86">
        <v>0</v>
      </c>
      <c r="F153" s="86"/>
      <c r="G153" s="86"/>
      <c r="H153" s="108">
        <v>0</v>
      </c>
      <c r="I153" s="86">
        <v>0</v>
      </c>
      <c r="J153" s="97"/>
      <c r="K153" s="86"/>
      <c r="L153" s="114"/>
    </row>
    <row r="154" spans="1:12" s="65" customFormat="1" ht="19.5" customHeight="1">
      <c r="A154" s="86"/>
      <c r="B154" s="86"/>
      <c r="C154" s="82">
        <v>2025</v>
      </c>
      <c r="D154" s="86">
        <v>0</v>
      </c>
      <c r="E154" s="86">
        <v>0</v>
      </c>
      <c r="F154" s="86"/>
      <c r="G154" s="86"/>
      <c r="H154" s="108">
        <v>0</v>
      </c>
      <c r="I154" s="86">
        <v>0</v>
      </c>
      <c r="J154" s="97"/>
      <c r="K154" s="86"/>
      <c r="L154" s="114"/>
    </row>
    <row r="155" spans="1:12" s="65" customFormat="1" ht="19.5" customHeight="1">
      <c r="A155" s="86" t="s">
        <v>96</v>
      </c>
      <c r="B155" s="86" t="s">
        <v>97</v>
      </c>
      <c r="C155" s="82">
        <v>2017</v>
      </c>
      <c r="D155" s="86">
        <f aca="true" t="shared" si="20" ref="D155:D158">I155</f>
        <v>0</v>
      </c>
      <c r="E155" s="86">
        <v>0</v>
      </c>
      <c r="F155" s="86"/>
      <c r="G155" s="86"/>
      <c r="H155" s="108">
        <v>0</v>
      </c>
      <c r="I155" s="86">
        <v>0</v>
      </c>
      <c r="J155" s="97"/>
      <c r="K155" s="86"/>
      <c r="L155" s="114"/>
    </row>
    <row r="156" spans="1:12" s="65" customFormat="1" ht="19.5" customHeight="1">
      <c r="A156" s="86"/>
      <c r="B156" s="86"/>
      <c r="C156" s="82">
        <v>2018</v>
      </c>
      <c r="D156" s="86">
        <f t="shared" si="20"/>
        <v>39.66</v>
      </c>
      <c r="E156" s="86">
        <f>I156</f>
        <v>39.66</v>
      </c>
      <c r="F156" s="86"/>
      <c r="G156" s="86"/>
      <c r="H156" s="108">
        <v>0</v>
      </c>
      <c r="I156" s="86">
        <v>39.66</v>
      </c>
      <c r="J156" s="97"/>
      <c r="K156" s="105" t="s">
        <v>55</v>
      </c>
      <c r="L156" s="114"/>
    </row>
    <row r="157" spans="1:12" s="65" customFormat="1" ht="19.5" customHeight="1">
      <c r="A157" s="86"/>
      <c r="B157" s="86"/>
      <c r="C157" s="82">
        <v>2019</v>
      </c>
      <c r="D157" s="86">
        <f t="shared" si="20"/>
        <v>0</v>
      </c>
      <c r="E157" s="86">
        <v>0</v>
      </c>
      <c r="F157" s="86"/>
      <c r="G157" s="86"/>
      <c r="H157" s="108">
        <v>0</v>
      </c>
      <c r="I157" s="86">
        <v>0</v>
      </c>
      <c r="J157" s="97"/>
      <c r="K157" s="105"/>
      <c r="L157" s="114"/>
    </row>
    <row r="158" spans="1:12" s="65" customFormat="1" ht="19.5" customHeight="1">
      <c r="A158" s="86"/>
      <c r="B158" s="86"/>
      <c r="C158" s="82">
        <v>2020</v>
      </c>
      <c r="D158" s="86">
        <f t="shared" si="20"/>
        <v>0</v>
      </c>
      <c r="E158" s="86">
        <f>I158</f>
        <v>0</v>
      </c>
      <c r="F158" s="86"/>
      <c r="G158" s="86"/>
      <c r="H158" s="108">
        <v>0</v>
      </c>
      <c r="I158" s="86">
        <v>0</v>
      </c>
      <c r="J158" s="97"/>
      <c r="K158" s="105"/>
      <c r="L158" s="114"/>
    </row>
    <row r="159" spans="1:12" s="65" customFormat="1" ht="19.5" customHeight="1">
      <c r="A159" s="86"/>
      <c r="B159" s="86"/>
      <c r="C159" s="82">
        <v>2021</v>
      </c>
      <c r="D159" s="86">
        <v>0</v>
      </c>
      <c r="E159" s="86">
        <v>0</v>
      </c>
      <c r="F159" s="86"/>
      <c r="G159" s="86"/>
      <c r="H159" s="108">
        <v>0</v>
      </c>
      <c r="I159" s="86">
        <v>0</v>
      </c>
      <c r="J159" s="97"/>
      <c r="K159" s="105"/>
      <c r="L159" s="114"/>
    </row>
    <row r="160" spans="1:12" s="65" customFormat="1" ht="19.5" customHeight="1">
      <c r="A160" s="86"/>
      <c r="B160" s="86"/>
      <c r="C160" s="82">
        <v>2022</v>
      </c>
      <c r="D160" s="86">
        <f aca="true" t="shared" si="21" ref="D160:D161">I160</f>
        <v>0</v>
      </c>
      <c r="E160" s="86">
        <f>I160</f>
        <v>0</v>
      </c>
      <c r="F160" s="86"/>
      <c r="G160" s="86"/>
      <c r="H160" s="108">
        <v>0</v>
      </c>
      <c r="I160" s="86">
        <v>0</v>
      </c>
      <c r="J160" s="97"/>
      <c r="K160" s="105"/>
      <c r="L160" s="114"/>
    </row>
    <row r="161" spans="1:12" s="65" customFormat="1" ht="19.5" customHeight="1">
      <c r="A161" s="86"/>
      <c r="B161" s="86"/>
      <c r="C161" s="82">
        <v>2023</v>
      </c>
      <c r="D161" s="86">
        <f t="shared" si="21"/>
        <v>0</v>
      </c>
      <c r="E161" s="86">
        <v>0</v>
      </c>
      <c r="F161" s="86"/>
      <c r="G161" s="86"/>
      <c r="H161" s="108">
        <v>0</v>
      </c>
      <c r="I161" s="86">
        <v>0</v>
      </c>
      <c r="J161" s="97"/>
      <c r="K161" s="105"/>
      <c r="L161" s="114"/>
    </row>
    <row r="162" spans="1:12" s="65" customFormat="1" ht="19.5" customHeight="1">
      <c r="A162" s="86"/>
      <c r="B162" s="86"/>
      <c r="C162" s="82">
        <v>2024</v>
      </c>
      <c r="D162" s="86">
        <v>0</v>
      </c>
      <c r="E162" s="86">
        <v>0</v>
      </c>
      <c r="F162" s="86"/>
      <c r="G162" s="86"/>
      <c r="H162" s="108">
        <v>0</v>
      </c>
      <c r="I162" s="86">
        <v>0</v>
      </c>
      <c r="J162" s="97"/>
      <c r="K162" s="105"/>
      <c r="L162" s="114"/>
    </row>
    <row r="163" spans="1:12" s="65" customFormat="1" ht="19.5" customHeight="1">
      <c r="A163" s="86"/>
      <c r="B163" s="86"/>
      <c r="C163" s="82">
        <v>2025</v>
      </c>
      <c r="D163" s="86">
        <v>0</v>
      </c>
      <c r="E163" s="86">
        <v>0</v>
      </c>
      <c r="F163" s="86"/>
      <c r="G163" s="86"/>
      <c r="H163" s="108">
        <v>0</v>
      </c>
      <c r="I163" s="86">
        <v>0</v>
      </c>
      <c r="J163" s="97"/>
      <c r="K163" s="105"/>
      <c r="L163" s="114"/>
    </row>
    <row r="164" spans="1:12" s="65" customFormat="1" ht="19.5" customHeight="1">
      <c r="A164" s="86" t="s">
        <v>98</v>
      </c>
      <c r="B164" s="86" t="s">
        <v>99</v>
      </c>
      <c r="C164" s="82">
        <v>2017</v>
      </c>
      <c r="D164" s="116">
        <v>0</v>
      </c>
      <c r="E164" s="116">
        <v>0</v>
      </c>
      <c r="F164" s="116">
        <v>0</v>
      </c>
      <c r="G164" s="116">
        <v>0</v>
      </c>
      <c r="H164" s="116">
        <v>0</v>
      </c>
      <c r="I164" s="116">
        <v>0</v>
      </c>
      <c r="J164" s="97"/>
      <c r="K164" s="105"/>
      <c r="L164" s="114"/>
    </row>
    <row r="165" spans="1:12" s="65" customFormat="1" ht="19.5" customHeight="1">
      <c r="A165" s="86"/>
      <c r="B165" s="86"/>
      <c r="C165" s="82">
        <v>2018</v>
      </c>
      <c r="D165" s="116">
        <v>0</v>
      </c>
      <c r="E165" s="116">
        <v>0</v>
      </c>
      <c r="F165" s="116">
        <v>0</v>
      </c>
      <c r="G165" s="116">
        <v>0</v>
      </c>
      <c r="H165" s="116">
        <v>0</v>
      </c>
      <c r="I165" s="116">
        <v>0</v>
      </c>
      <c r="J165" s="97"/>
      <c r="K165" s="105"/>
      <c r="L165" s="114"/>
    </row>
    <row r="166" spans="1:12" s="65" customFormat="1" ht="19.5" customHeight="1">
      <c r="A166" s="86"/>
      <c r="B166" s="86"/>
      <c r="C166" s="82">
        <v>2019</v>
      </c>
      <c r="D166" s="116">
        <f>H166+I166</f>
        <v>27.739</v>
      </c>
      <c r="E166" s="116">
        <v>0</v>
      </c>
      <c r="F166" s="116">
        <v>0</v>
      </c>
      <c r="G166" s="116">
        <v>0</v>
      </c>
      <c r="H166" s="116">
        <v>0</v>
      </c>
      <c r="I166" s="116">
        <v>27.739</v>
      </c>
      <c r="J166" s="97"/>
      <c r="K166" s="105"/>
      <c r="L166" s="114"/>
    </row>
    <row r="167" spans="1:12" s="65" customFormat="1" ht="19.5" customHeight="1">
      <c r="A167" s="86"/>
      <c r="B167" s="86"/>
      <c r="C167" s="82">
        <v>2020</v>
      </c>
      <c r="D167" s="116">
        <v>0</v>
      </c>
      <c r="E167" s="116">
        <v>0</v>
      </c>
      <c r="F167" s="116">
        <v>0</v>
      </c>
      <c r="G167" s="116">
        <v>0</v>
      </c>
      <c r="H167" s="116">
        <v>0</v>
      </c>
      <c r="I167" s="116">
        <v>0</v>
      </c>
      <c r="J167" s="97"/>
      <c r="K167" s="105"/>
      <c r="L167" s="114"/>
    </row>
    <row r="168" spans="1:12" s="65" customFormat="1" ht="19.5" customHeight="1">
      <c r="A168" s="86"/>
      <c r="B168" s="86"/>
      <c r="C168" s="82">
        <v>2021</v>
      </c>
      <c r="D168" s="116">
        <v>0</v>
      </c>
      <c r="E168" s="116">
        <v>0</v>
      </c>
      <c r="F168" s="116">
        <v>0</v>
      </c>
      <c r="G168" s="116">
        <v>0</v>
      </c>
      <c r="H168" s="116">
        <v>0</v>
      </c>
      <c r="I168" s="116">
        <v>0</v>
      </c>
      <c r="J168" s="97"/>
      <c r="K168" s="105"/>
      <c r="L168" s="114"/>
    </row>
    <row r="169" spans="1:12" s="65" customFormat="1" ht="19.5" customHeight="1">
      <c r="A169" s="86"/>
      <c r="B169" s="86"/>
      <c r="C169" s="82">
        <v>2022</v>
      </c>
      <c r="D169" s="116">
        <f>I169</f>
        <v>0</v>
      </c>
      <c r="E169" s="116">
        <v>0</v>
      </c>
      <c r="F169" s="116">
        <v>0</v>
      </c>
      <c r="G169" s="116">
        <v>0</v>
      </c>
      <c r="H169" s="116">
        <v>0</v>
      </c>
      <c r="I169" s="116">
        <v>0</v>
      </c>
      <c r="J169" s="97"/>
      <c r="K169" s="105"/>
      <c r="L169" s="114"/>
    </row>
    <row r="170" spans="1:12" s="65" customFormat="1" ht="19.5" customHeight="1">
      <c r="A170" s="86"/>
      <c r="B170" s="86"/>
      <c r="C170" s="101">
        <v>2023</v>
      </c>
      <c r="D170" s="117">
        <f>E170+F170+I170</f>
        <v>965.1325</v>
      </c>
      <c r="E170" s="117">
        <v>0</v>
      </c>
      <c r="F170" s="117">
        <f>G170+H170</f>
        <v>0</v>
      </c>
      <c r="G170" s="117">
        <v>0</v>
      </c>
      <c r="H170" s="117">
        <v>0</v>
      </c>
      <c r="I170" s="117">
        <v>965.1325</v>
      </c>
      <c r="J170" s="97"/>
      <c r="K170" s="93" t="s">
        <v>100</v>
      </c>
      <c r="L170" s="114"/>
    </row>
    <row r="171" spans="1:12" s="65" customFormat="1" ht="19.5" customHeight="1">
      <c r="A171" s="86"/>
      <c r="B171" s="86"/>
      <c r="C171" s="82">
        <v>2024</v>
      </c>
      <c r="D171" s="116">
        <v>0</v>
      </c>
      <c r="E171" s="116">
        <v>0</v>
      </c>
      <c r="F171" s="116">
        <v>0</v>
      </c>
      <c r="G171" s="116">
        <v>0</v>
      </c>
      <c r="H171" s="116">
        <v>0</v>
      </c>
      <c r="I171" s="116">
        <v>0</v>
      </c>
      <c r="J171" s="97"/>
      <c r="K171" s="106"/>
      <c r="L171" s="114"/>
    </row>
    <row r="172" spans="1:12" s="65" customFormat="1" ht="19.5" customHeight="1">
      <c r="A172" s="86"/>
      <c r="B172" s="86"/>
      <c r="C172" s="82">
        <v>2025</v>
      </c>
      <c r="D172" s="116">
        <v>0</v>
      </c>
      <c r="E172" s="116">
        <v>0</v>
      </c>
      <c r="F172" s="116">
        <v>0</v>
      </c>
      <c r="G172" s="116">
        <v>0</v>
      </c>
      <c r="H172" s="116">
        <v>0</v>
      </c>
      <c r="I172" s="116">
        <v>0</v>
      </c>
      <c r="J172" s="97"/>
      <c r="K172" s="107"/>
      <c r="L172" s="114"/>
    </row>
    <row r="173" spans="1:12" s="65" customFormat="1" ht="19.5" customHeight="1" hidden="1">
      <c r="A173" s="86" t="s">
        <v>101</v>
      </c>
      <c r="B173" s="86" t="s">
        <v>102</v>
      </c>
      <c r="C173" s="82">
        <v>2017</v>
      </c>
      <c r="D173" s="116">
        <v>0</v>
      </c>
      <c r="E173" s="116">
        <v>0</v>
      </c>
      <c r="F173" s="116">
        <v>0</v>
      </c>
      <c r="G173" s="116">
        <v>0</v>
      </c>
      <c r="H173" s="116">
        <v>0</v>
      </c>
      <c r="I173" s="116">
        <v>0</v>
      </c>
      <c r="J173" s="97"/>
      <c r="K173" s="86" t="s">
        <v>55</v>
      </c>
      <c r="L173" s="114"/>
    </row>
    <row r="174" spans="1:12" s="65" customFormat="1" ht="19.5" customHeight="1" hidden="1">
      <c r="A174" s="86"/>
      <c r="B174" s="86"/>
      <c r="C174" s="82">
        <v>2018</v>
      </c>
      <c r="D174" s="116">
        <v>0</v>
      </c>
      <c r="E174" s="116">
        <v>0</v>
      </c>
      <c r="F174" s="116">
        <v>0</v>
      </c>
      <c r="G174" s="116">
        <v>0</v>
      </c>
      <c r="H174" s="116">
        <v>0</v>
      </c>
      <c r="I174" s="116">
        <v>0</v>
      </c>
      <c r="J174" s="97"/>
      <c r="K174" s="86"/>
      <c r="L174" s="114"/>
    </row>
    <row r="175" spans="1:12" s="65" customFormat="1" ht="19.5" customHeight="1" hidden="1">
      <c r="A175" s="86"/>
      <c r="B175" s="86"/>
      <c r="C175" s="82">
        <v>2019</v>
      </c>
      <c r="D175" s="116">
        <v>0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97"/>
      <c r="K175" s="86"/>
      <c r="L175" s="114"/>
    </row>
    <row r="176" spans="1:12" s="65" customFormat="1" ht="19.5" customHeight="1" hidden="1">
      <c r="A176" s="86"/>
      <c r="B176" s="86"/>
      <c r="C176" s="94">
        <v>2020</v>
      </c>
      <c r="D176" s="116">
        <f aca="true" t="shared" si="22" ref="D176:D178">I176</f>
        <v>0</v>
      </c>
      <c r="E176" s="116">
        <v>0</v>
      </c>
      <c r="F176" s="116">
        <v>0</v>
      </c>
      <c r="G176" s="116">
        <v>0</v>
      </c>
      <c r="H176" s="116">
        <v>0</v>
      </c>
      <c r="I176" s="116">
        <f aca="true" t="shared" si="23" ref="I176:I177">200-200</f>
        <v>0</v>
      </c>
      <c r="J176" s="97"/>
      <c r="K176" s="86"/>
      <c r="L176" s="114"/>
    </row>
    <row r="177" spans="1:12" s="65" customFormat="1" ht="19.5" customHeight="1" hidden="1">
      <c r="A177" s="86"/>
      <c r="B177" s="86"/>
      <c r="C177" s="94"/>
      <c r="D177" s="116">
        <f t="shared" si="22"/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f t="shared" si="23"/>
        <v>0</v>
      </c>
      <c r="J177" s="97"/>
      <c r="K177" s="86"/>
      <c r="L177" s="114"/>
    </row>
    <row r="178" spans="1:12" s="65" customFormat="1" ht="19.5" customHeight="1" hidden="1">
      <c r="A178" s="86"/>
      <c r="B178" s="86"/>
      <c r="C178" s="94"/>
      <c r="D178" s="116">
        <f t="shared" si="22"/>
        <v>0</v>
      </c>
      <c r="E178" s="116">
        <v>0</v>
      </c>
      <c r="F178" s="116">
        <v>0</v>
      </c>
      <c r="G178" s="116">
        <v>0</v>
      </c>
      <c r="H178" s="116">
        <v>0</v>
      </c>
      <c r="I178" s="116">
        <f>100-100</f>
        <v>0</v>
      </c>
      <c r="J178" s="97"/>
      <c r="K178" s="86"/>
      <c r="L178" s="114"/>
    </row>
    <row r="179" spans="1:12" s="65" customFormat="1" ht="19.5" customHeight="1" hidden="1">
      <c r="A179" s="86"/>
      <c r="B179" s="86"/>
      <c r="C179" s="82">
        <v>2021</v>
      </c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97"/>
      <c r="K179" s="86"/>
      <c r="L179" s="114"/>
    </row>
    <row r="180" spans="1:12" s="65" customFormat="1" ht="19.5" customHeight="1" hidden="1">
      <c r="A180" s="86"/>
      <c r="B180" s="86"/>
      <c r="C180" s="82">
        <v>2022</v>
      </c>
      <c r="D180" s="116">
        <f>I180</f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97"/>
      <c r="K180" s="86"/>
      <c r="L180" s="114"/>
    </row>
    <row r="181" spans="1:12" s="65" customFormat="1" ht="19.5" customHeight="1" hidden="1">
      <c r="A181" s="86"/>
      <c r="B181" s="86"/>
      <c r="C181" s="82">
        <v>2023</v>
      </c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97"/>
      <c r="K181" s="86"/>
      <c r="L181" s="114"/>
    </row>
    <row r="182" spans="1:12" s="65" customFormat="1" ht="19.5" customHeight="1" hidden="1">
      <c r="A182" s="86"/>
      <c r="B182" s="86"/>
      <c r="C182" s="82">
        <v>2024</v>
      </c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97"/>
      <c r="K182" s="86"/>
      <c r="L182" s="114"/>
    </row>
    <row r="183" spans="1:12" s="65" customFormat="1" ht="19.5" customHeight="1" hidden="1">
      <c r="A183" s="86"/>
      <c r="B183" s="86"/>
      <c r="C183" s="118">
        <v>2025</v>
      </c>
      <c r="D183" s="119">
        <v>0</v>
      </c>
      <c r="E183" s="119">
        <v>0</v>
      </c>
      <c r="F183" s="119">
        <v>0</v>
      </c>
      <c r="G183" s="119">
        <v>0</v>
      </c>
      <c r="H183" s="119">
        <v>0</v>
      </c>
      <c r="I183" s="119">
        <v>0</v>
      </c>
      <c r="J183" s="97"/>
      <c r="K183" s="86"/>
      <c r="L183" s="114"/>
    </row>
    <row r="184" spans="1:12" s="65" customFormat="1" ht="19.5" customHeight="1">
      <c r="A184" s="86" t="s">
        <v>101</v>
      </c>
      <c r="B184" s="86" t="s">
        <v>103</v>
      </c>
      <c r="C184" s="82">
        <v>2021</v>
      </c>
      <c r="D184" s="116">
        <f>F184+I184</f>
        <v>65.05</v>
      </c>
      <c r="E184" s="116"/>
      <c r="F184" s="116">
        <f aca="true" t="shared" si="24" ref="F184:F189">G184+H184</f>
        <v>61.8</v>
      </c>
      <c r="G184" s="116">
        <v>61.8</v>
      </c>
      <c r="H184" s="116">
        <v>0</v>
      </c>
      <c r="I184" s="116">
        <f>65.05-61.8</f>
        <v>3.25</v>
      </c>
      <c r="J184" s="97"/>
      <c r="K184" s="86" t="s">
        <v>89</v>
      </c>
      <c r="L184" s="114"/>
    </row>
    <row r="185" spans="1:12" s="65" customFormat="1" ht="24" customHeight="1">
      <c r="A185" s="86"/>
      <c r="B185" s="86"/>
      <c r="C185" s="82">
        <v>2022</v>
      </c>
      <c r="D185" s="116">
        <f>I185+F185</f>
        <v>65.8</v>
      </c>
      <c r="E185" s="116"/>
      <c r="F185" s="116">
        <f t="shared" si="24"/>
        <v>62.5</v>
      </c>
      <c r="G185" s="116">
        <v>55</v>
      </c>
      <c r="H185" s="116">
        <v>7.5</v>
      </c>
      <c r="I185" s="116">
        <f>9.34-6.04</f>
        <v>3.3</v>
      </c>
      <c r="J185" s="97"/>
      <c r="K185" s="86"/>
      <c r="L185" s="114"/>
    </row>
    <row r="186" spans="1:12" s="65" customFormat="1" ht="24" customHeight="1">
      <c r="A186" s="86"/>
      <c r="B186" s="86"/>
      <c r="C186" s="101">
        <v>2023</v>
      </c>
      <c r="D186" s="117">
        <f aca="true" t="shared" si="25" ref="D186:D189">F186+I186</f>
        <v>84.84299999999999</v>
      </c>
      <c r="E186" s="117"/>
      <c r="F186" s="117">
        <f t="shared" si="24"/>
        <v>80.6</v>
      </c>
      <c r="G186" s="117">
        <v>70.928</v>
      </c>
      <c r="H186" s="117">
        <v>9.672</v>
      </c>
      <c r="I186" s="117">
        <v>4.243</v>
      </c>
      <c r="J186" s="97"/>
      <c r="K186" s="86"/>
      <c r="L186" s="114"/>
    </row>
    <row r="187" spans="1:12" s="65" customFormat="1" ht="24.75" customHeight="1">
      <c r="A187" s="86"/>
      <c r="B187" s="86"/>
      <c r="C187" s="82">
        <v>2024</v>
      </c>
      <c r="D187" s="116">
        <f t="shared" si="25"/>
        <v>84.84299999999999</v>
      </c>
      <c r="E187" s="116"/>
      <c r="F187" s="116">
        <f t="shared" si="24"/>
        <v>80.6</v>
      </c>
      <c r="G187" s="116">
        <v>0</v>
      </c>
      <c r="H187" s="116">
        <v>80.6</v>
      </c>
      <c r="I187" s="116">
        <v>4.243</v>
      </c>
      <c r="J187" s="97"/>
      <c r="K187" s="86"/>
      <c r="L187" s="114"/>
    </row>
    <row r="188" spans="1:12" s="65" customFormat="1" ht="24.75" customHeight="1">
      <c r="A188" s="86"/>
      <c r="B188" s="86"/>
      <c r="C188" s="82">
        <v>2025</v>
      </c>
      <c r="D188" s="116">
        <f t="shared" si="25"/>
        <v>84.84299999999999</v>
      </c>
      <c r="E188" s="116"/>
      <c r="F188" s="116">
        <f t="shared" si="24"/>
        <v>80.6</v>
      </c>
      <c r="G188" s="116">
        <v>0</v>
      </c>
      <c r="H188" s="116">
        <v>80.6</v>
      </c>
      <c r="I188" s="116">
        <v>4.243</v>
      </c>
      <c r="J188" s="97"/>
      <c r="K188" s="86"/>
      <c r="L188" s="114"/>
    </row>
    <row r="189" spans="1:12" s="65" customFormat="1" ht="21" customHeight="1">
      <c r="A189" s="86" t="s">
        <v>104</v>
      </c>
      <c r="B189" s="86" t="s">
        <v>105</v>
      </c>
      <c r="C189" s="82">
        <v>2022</v>
      </c>
      <c r="D189" s="116">
        <f t="shared" si="25"/>
        <v>75.288</v>
      </c>
      <c r="E189" s="116"/>
      <c r="F189" s="116">
        <f t="shared" si="24"/>
        <v>65.5</v>
      </c>
      <c r="G189" s="116">
        <v>0</v>
      </c>
      <c r="H189" s="116">
        <v>65.5</v>
      </c>
      <c r="I189" s="116">
        <v>9.788</v>
      </c>
      <c r="J189" s="97"/>
      <c r="K189" s="86"/>
      <c r="L189" s="114"/>
    </row>
    <row r="190" spans="1:12" s="65" customFormat="1" ht="24.75" customHeight="1">
      <c r="A190" s="86"/>
      <c r="B190" s="86"/>
      <c r="C190" s="82">
        <v>2023</v>
      </c>
      <c r="D190" s="116">
        <v>0</v>
      </c>
      <c r="E190" s="116"/>
      <c r="F190" s="116">
        <v>0</v>
      </c>
      <c r="G190" s="116">
        <v>0</v>
      </c>
      <c r="H190" s="116">
        <v>0</v>
      </c>
      <c r="I190" s="116">
        <v>0</v>
      </c>
      <c r="J190" s="97"/>
      <c r="K190" s="86"/>
      <c r="L190" s="114"/>
    </row>
    <row r="191" spans="1:12" s="65" customFormat="1" ht="24.75" customHeight="1">
      <c r="A191" s="86"/>
      <c r="B191" s="86"/>
      <c r="C191" s="82">
        <v>2024</v>
      </c>
      <c r="D191" s="116">
        <v>0</v>
      </c>
      <c r="E191" s="116"/>
      <c r="F191" s="116">
        <v>0</v>
      </c>
      <c r="G191" s="116">
        <v>0</v>
      </c>
      <c r="H191" s="116">
        <v>0</v>
      </c>
      <c r="I191" s="116">
        <v>0</v>
      </c>
      <c r="J191" s="97"/>
      <c r="K191" s="86"/>
      <c r="L191" s="114"/>
    </row>
    <row r="192" spans="1:12" s="65" customFormat="1" ht="24.75" customHeight="1">
      <c r="A192" s="86"/>
      <c r="B192" s="86"/>
      <c r="C192" s="82">
        <v>2025</v>
      </c>
      <c r="D192" s="116">
        <v>0</v>
      </c>
      <c r="E192" s="116"/>
      <c r="F192" s="116">
        <v>0</v>
      </c>
      <c r="G192" s="116">
        <v>0</v>
      </c>
      <c r="H192" s="116">
        <v>0</v>
      </c>
      <c r="I192" s="116">
        <v>0</v>
      </c>
      <c r="J192" s="97"/>
      <c r="K192" s="86"/>
      <c r="L192" s="114"/>
    </row>
    <row r="193" spans="1:12" s="65" customFormat="1" ht="18" customHeight="1">
      <c r="A193" s="86" t="s">
        <v>106</v>
      </c>
      <c r="B193" s="86" t="s">
        <v>107</v>
      </c>
      <c r="C193" s="82">
        <v>2022</v>
      </c>
      <c r="D193" s="116">
        <f>I193</f>
        <v>929.999</v>
      </c>
      <c r="E193" s="116"/>
      <c r="F193" s="116">
        <v>0</v>
      </c>
      <c r="G193" s="116">
        <v>0</v>
      </c>
      <c r="H193" s="116">
        <v>0</v>
      </c>
      <c r="I193" s="116">
        <v>929.999</v>
      </c>
      <c r="J193" s="97"/>
      <c r="K193" s="86" t="s">
        <v>100</v>
      </c>
      <c r="L193" s="114"/>
    </row>
    <row r="194" spans="1:12" s="65" customFormat="1" ht="18.75" customHeight="1">
      <c r="A194" s="86"/>
      <c r="B194" s="86"/>
      <c r="C194" s="82">
        <v>2023</v>
      </c>
      <c r="D194" s="116">
        <v>0</v>
      </c>
      <c r="E194" s="116"/>
      <c r="F194" s="116">
        <v>0</v>
      </c>
      <c r="G194" s="116">
        <v>0</v>
      </c>
      <c r="H194" s="116">
        <v>0</v>
      </c>
      <c r="I194" s="116">
        <v>0</v>
      </c>
      <c r="J194" s="97"/>
      <c r="K194" s="86"/>
      <c r="L194" s="114"/>
    </row>
    <row r="195" spans="1:12" s="65" customFormat="1" ht="20.25" customHeight="1">
      <c r="A195" s="86"/>
      <c r="B195" s="86"/>
      <c r="C195" s="82">
        <v>2024</v>
      </c>
      <c r="D195" s="116">
        <v>0</v>
      </c>
      <c r="E195" s="116"/>
      <c r="F195" s="116">
        <v>0</v>
      </c>
      <c r="G195" s="116">
        <v>0</v>
      </c>
      <c r="H195" s="116">
        <v>0</v>
      </c>
      <c r="I195" s="116">
        <v>0</v>
      </c>
      <c r="J195" s="97"/>
      <c r="K195" s="86"/>
      <c r="L195" s="114"/>
    </row>
    <row r="196" spans="1:12" s="65" customFormat="1" ht="20.25" customHeight="1">
      <c r="A196" s="86"/>
      <c r="B196" s="86"/>
      <c r="C196" s="82">
        <v>2025</v>
      </c>
      <c r="D196" s="116">
        <v>0</v>
      </c>
      <c r="E196" s="116"/>
      <c r="F196" s="116">
        <v>0</v>
      </c>
      <c r="G196" s="116">
        <v>0</v>
      </c>
      <c r="H196" s="116">
        <v>0</v>
      </c>
      <c r="I196" s="116">
        <v>0</v>
      </c>
      <c r="J196" s="97"/>
      <c r="K196" s="86"/>
      <c r="L196" s="114"/>
    </row>
    <row r="197" spans="1:12" s="65" customFormat="1" ht="40.5" customHeight="1">
      <c r="A197" s="120" t="s">
        <v>108</v>
      </c>
      <c r="B197" s="121" t="s">
        <v>109</v>
      </c>
      <c r="C197" s="109">
        <v>2023</v>
      </c>
      <c r="D197" s="122">
        <f aca="true" t="shared" si="26" ref="D197:D198">F197+I197</f>
        <v>941.7239999999999</v>
      </c>
      <c r="E197" s="122"/>
      <c r="F197" s="122">
        <f aca="true" t="shared" si="27" ref="F197:F198">G197+H197</f>
        <v>819.3</v>
      </c>
      <c r="G197" s="122">
        <v>721</v>
      </c>
      <c r="H197" s="122">
        <v>98.3</v>
      </c>
      <c r="I197" s="122">
        <v>122.424</v>
      </c>
      <c r="J197" s="97"/>
      <c r="K197" s="123" t="s">
        <v>110</v>
      </c>
      <c r="L197" s="114"/>
    </row>
    <row r="198" spans="1:12" s="65" customFormat="1" ht="45" customHeight="1">
      <c r="A198" s="120" t="s">
        <v>111</v>
      </c>
      <c r="B198" s="121" t="s">
        <v>112</v>
      </c>
      <c r="C198" s="109">
        <v>2023</v>
      </c>
      <c r="D198" s="122">
        <f t="shared" si="26"/>
        <v>310.647</v>
      </c>
      <c r="E198" s="122"/>
      <c r="F198" s="122">
        <f t="shared" si="27"/>
        <v>0</v>
      </c>
      <c r="G198" s="122">
        <v>0</v>
      </c>
      <c r="H198" s="122">
        <v>0</v>
      </c>
      <c r="I198" s="122">
        <f>400-89.353</f>
        <v>310.647</v>
      </c>
      <c r="J198" s="97"/>
      <c r="K198" s="123" t="s">
        <v>92</v>
      </c>
      <c r="L198" s="114"/>
    </row>
    <row r="199" spans="1:12" s="65" customFormat="1" ht="19.5" customHeight="1">
      <c r="A199" s="86"/>
      <c r="B199" s="124" t="s">
        <v>113</v>
      </c>
      <c r="C199" s="125">
        <v>2017</v>
      </c>
      <c r="D199" s="124">
        <f aca="true" t="shared" si="28" ref="D199:D202">I199</f>
        <v>2414.4018</v>
      </c>
      <c r="E199" s="124">
        <v>0</v>
      </c>
      <c r="F199" s="124"/>
      <c r="G199" s="124"/>
      <c r="H199" s="124">
        <v>0</v>
      </c>
      <c r="I199" s="124">
        <f>I146+I145+I136+I123+I122+I121+I112+I103+I94+I85+I70+I69+I68+I67+I55+I54+I53+I35+I25+I16+I44</f>
        <v>2414.4018</v>
      </c>
      <c r="J199" s="97"/>
      <c r="K199" s="98"/>
      <c r="L199" s="114"/>
    </row>
    <row r="200" spans="1:12" s="65" customFormat="1" ht="19.5" customHeight="1">
      <c r="A200" s="86"/>
      <c r="B200" s="124"/>
      <c r="C200" s="125">
        <v>2018</v>
      </c>
      <c r="D200" s="124">
        <f t="shared" si="28"/>
        <v>1441.4070000000002</v>
      </c>
      <c r="E200" s="124">
        <f>E17+E26+E36+E45+E56+E71+E73+E86+E95+E104+E113+E121+E122+E123+E137</f>
        <v>0</v>
      </c>
      <c r="F200" s="124"/>
      <c r="G200" s="124"/>
      <c r="H200" s="124">
        <f>H17+H26+H36+H45+H56+H71+H73+H86+H95+H104+H113+H121+H122+H123+H137</f>
        <v>0</v>
      </c>
      <c r="I200" s="124">
        <f>I147+I137+I124+I113+I104+I95+I86+I73+I56+I45+I36+I26+I17+I71+I72+I156</f>
        <v>1441.4070000000002</v>
      </c>
      <c r="J200" s="97"/>
      <c r="K200" s="98"/>
      <c r="L200" s="114"/>
    </row>
    <row r="201" spans="1:12" s="65" customFormat="1" ht="19.5" customHeight="1">
      <c r="A201" s="86"/>
      <c r="B201" s="124"/>
      <c r="C201" s="125">
        <v>2019</v>
      </c>
      <c r="D201" s="124">
        <f t="shared" si="28"/>
        <v>1211.5683599999998</v>
      </c>
      <c r="E201" s="124">
        <f>E18+E27+E37+E46+E57+E74+E87+E96+E105+E114+E124+E138</f>
        <v>0</v>
      </c>
      <c r="F201" s="124"/>
      <c r="G201" s="124"/>
      <c r="H201" s="124">
        <f>H18+H27+H37+H46+H57+H74+H87+H96+H105+H114+H124+H138</f>
        <v>0</v>
      </c>
      <c r="I201" s="124">
        <f>I157+++I148+I138+I125+I114+I105+I96+I87+I74+I76+I57+I46+I37+I27+I18+I58+I166+I75</f>
        <v>1211.5683599999998</v>
      </c>
      <c r="J201" s="97"/>
      <c r="K201" s="98"/>
      <c r="L201" s="114"/>
    </row>
    <row r="202" spans="1:12" s="65" customFormat="1" ht="19.5" customHeight="1">
      <c r="A202" s="86"/>
      <c r="B202" s="124"/>
      <c r="C202" s="125">
        <v>2020</v>
      </c>
      <c r="D202" s="124">
        <f t="shared" si="28"/>
        <v>900.06708</v>
      </c>
      <c r="E202" s="124">
        <f>E19+E28+E38+E47+E59+E77+E88+E97+E106+E115+E126+E149</f>
        <v>0</v>
      </c>
      <c r="F202" s="124"/>
      <c r="G202" s="124"/>
      <c r="H202" s="124">
        <f>H19+H28+H38+H47+H59+H77+H88+H97+H106+H115+H126+H149</f>
        <v>0</v>
      </c>
      <c r="I202" s="124">
        <f>I158+I178+I12957+I139+I126+I115+I106+I97+I88+I78+I59+I47+I38+I28+I19+I77+I177+I176+I60</f>
        <v>900.06708</v>
      </c>
      <c r="J202" s="97"/>
      <c r="K202" s="98"/>
      <c r="L202" s="114"/>
    </row>
    <row r="203" spans="1:12" s="65" customFormat="1" ht="19.5" customHeight="1">
      <c r="A203" s="86"/>
      <c r="B203" s="124"/>
      <c r="C203" s="125">
        <v>2021</v>
      </c>
      <c r="D203" s="124">
        <f>F203+I203</f>
        <v>1091.348</v>
      </c>
      <c r="E203" s="124">
        <v>0</v>
      </c>
      <c r="F203" s="124">
        <f>F184</f>
        <v>61.8</v>
      </c>
      <c r="G203" s="124">
        <f>G184</f>
        <v>61.8</v>
      </c>
      <c r="H203" s="124">
        <f>H184</f>
        <v>0</v>
      </c>
      <c r="I203" s="124">
        <f>I159+I150+I140+I127+I116+I107+I98+I89+I80+I79+I61+I48+I39+I30+I20+I62+I184</f>
        <v>1029.548</v>
      </c>
      <c r="J203" s="97"/>
      <c r="K203" s="98" t="s">
        <v>71</v>
      </c>
      <c r="L203" s="114"/>
    </row>
    <row r="204" spans="1:12" s="65" customFormat="1" ht="19.5" customHeight="1">
      <c r="A204" s="86"/>
      <c r="B204" s="124"/>
      <c r="C204" s="125">
        <v>2022</v>
      </c>
      <c r="D204" s="124">
        <f aca="true" t="shared" si="29" ref="D204:D207">E204+F204+I204+J204</f>
        <v>3862.5009999999997</v>
      </c>
      <c r="E204" s="124">
        <v>0</v>
      </c>
      <c r="F204" s="124">
        <f aca="true" t="shared" si="30" ref="F204:F207">G204+H204</f>
        <v>128</v>
      </c>
      <c r="G204" s="124">
        <f>G31+G40+G49+G63+G81+G90+G99+G108+G117+G128+G129+G130+G141++G151+G160+G169+G180+G185+G189+G193</f>
        <v>55</v>
      </c>
      <c r="H204" s="124">
        <f>H185+H189</f>
        <v>73</v>
      </c>
      <c r="I204" s="124">
        <f>I21+I40+I49+I63+I81+I90+I99+I108+I117+I128+I141+I31+I185+I129+I193+I189+I130</f>
        <v>3734.5009999999997</v>
      </c>
      <c r="J204" s="97"/>
      <c r="K204" s="98"/>
      <c r="L204" s="114"/>
    </row>
    <row r="205" spans="1:12" s="65" customFormat="1" ht="19.5" customHeight="1">
      <c r="A205" s="86"/>
      <c r="B205" s="124"/>
      <c r="C205" s="126">
        <v>2023</v>
      </c>
      <c r="D205" s="127">
        <f t="shared" si="29"/>
        <v>3414.8672400000005</v>
      </c>
      <c r="E205" s="127">
        <v>0</v>
      </c>
      <c r="F205" s="127">
        <f t="shared" si="30"/>
        <v>899.9</v>
      </c>
      <c r="G205" s="127">
        <f>G186+G197</f>
        <v>791.928</v>
      </c>
      <c r="H205" s="127">
        <f>H186+H197</f>
        <v>107.972</v>
      </c>
      <c r="I205" s="127">
        <f>I142+I118+I109+I100+I91+I82+I64+I50+I41+I32+I22+I186+I152+I161+I170+I181+I190+I194+I197+I198+I131</f>
        <v>2514.9672400000004</v>
      </c>
      <c r="J205" s="97"/>
      <c r="K205" s="98"/>
      <c r="L205" s="114"/>
    </row>
    <row r="206" spans="1:12" s="65" customFormat="1" ht="19.5" customHeight="1">
      <c r="A206" s="86"/>
      <c r="B206" s="124"/>
      <c r="C206" s="125">
        <v>2024</v>
      </c>
      <c r="D206" s="124">
        <f t="shared" si="29"/>
        <v>244.843</v>
      </c>
      <c r="E206" s="124">
        <v>0</v>
      </c>
      <c r="F206" s="124">
        <f t="shared" si="30"/>
        <v>80.6</v>
      </c>
      <c r="G206" s="124">
        <f aca="true" t="shared" si="31" ref="G206:G207">G187</f>
        <v>0</v>
      </c>
      <c r="H206" s="124">
        <f aca="true" t="shared" si="32" ref="H206:H207">H187</f>
        <v>80.6</v>
      </c>
      <c r="I206" s="124">
        <f>I143+I132+I119+I110+I101+I92+I83+I65+I51+I42+I33+I23+I187+I153+I162+I171+I182+I191+I195</f>
        <v>164.243</v>
      </c>
      <c r="J206" s="97"/>
      <c r="K206" s="98"/>
      <c r="L206" s="114"/>
    </row>
    <row r="207" spans="1:12" s="65" customFormat="1" ht="19.5" customHeight="1">
      <c r="A207" s="86"/>
      <c r="B207" s="124"/>
      <c r="C207" s="125">
        <v>2025</v>
      </c>
      <c r="D207" s="124">
        <f t="shared" si="29"/>
        <v>244.843</v>
      </c>
      <c r="E207" s="124">
        <v>0</v>
      </c>
      <c r="F207" s="124">
        <f t="shared" si="30"/>
        <v>80.6</v>
      </c>
      <c r="G207" s="124">
        <f t="shared" si="31"/>
        <v>0</v>
      </c>
      <c r="H207" s="124">
        <f t="shared" si="32"/>
        <v>80.6</v>
      </c>
      <c r="I207" s="124">
        <f>I144+I135+I120+I111+I102+I93+I84+I66+I52+I43+I34+I24+I188+I154+I163+I172+I183+I192+I196+I134</f>
        <v>164.243</v>
      </c>
      <c r="J207" s="97"/>
      <c r="K207" s="98"/>
      <c r="L207" s="128"/>
    </row>
    <row r="208" spans="1:12" s="65" customFormat="1" ht="19.5" customHeight="1">
      <c r="A208" s="129" t="s">
        <v>114</v>
      </c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29"/>
    </row>
    <row r="209" spans="1:12" s="65" customFormat="1" ht="19.5" customHeight="1">
      <c r="A209" s="130" t="s">
        <v>50</v>
      </c>
      <c r="B209" s="130" t="s">
        <v>115</v>
      </c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</row>
    <row r="210" spans="1:12" s="65" customFormat="1" ht="19.5" customHeight="1">
      <c r="A210" s="130" t="s">
        <v>52</v>
      </c>
      <c r="B210" s="130" t="s">
        <v>116</v>
      </c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</row>
    <row r="211" spans="1:12" s="65" customFormat="1" ht="19.5" customHeight="1">
      <c r="A211" s="93"/>
      <c r="B211" s="93" t="s">
        <v>117</v>
      </c>
      <c r="C211" s="93"/>
      <c r="D211" s="93"/>
      <c r="E211" s="93"/>
      <c r="F211" s="93"/>
      <c r="G211" s="93"/>
      <c r="H211" s="93"/>
      <c r="I211" s="93"/>
      <c r="J211" s="93"/>
      <c r="K211" s="93"/>
      <c r="L211" s="113" t="s">
        <v>118</v>
      </c>
    </row>
    <row r="212" spans="1:12" s="65" customFormat="1" ht="19.5" customHeight="1">
      <c r="A212" s="86" t="s">
        <v>119</v>
      </c>
      <c r="B212" s="86" t="s">
        <v>120</v>
      </c>
      <c r="C212" s="94">
        <v>2017</v>
      </c>
      <c r="D212" s="95">
        <f aca="true" t="shared" si="33" ref="D212:D215">I212</f>
        <v>787.715</v>
      </c>
      <c r="E212" s="95">
        <v>0</v>
      </c>
      <c r="F212" s="95"/>
      <c r="G212" s="95"/>
      <c r="H212" s="95">
        <v>0</v>
      </c>
      <c r="I212" s="95">
        <v>787.715</v>
      </c>
      <c r="J212" s="93"/>
      <c r="K212" s="93" t="s">
        <v>121</v>
      </c>
      <c r="L212" s="113"/>
    </row>
    <row r="213" spans="1:12" s="65" customFormat="1" ht="19.5" customHeight="1">
      <c r="A213" s="86"/>
      <c r="B213" s="86"/>
      <c r="C213" s="94"/>
      <c r="D213" s="131">
        <f t="shared" si="33"/>
        <v>33.923</v>
      </c>
      <c r="E213" s="131">
        <v>0</v>
      </c>
      <c r="F213" s="131"/>
      <c r="G213" s="131"/>
      <c r="H213" s="131">
        <v>0</v>
      </c>
      <c r="I213" s="131">
        <v>33.923</v>
      </c>
      <c r="J213" s="93"/>
      <c r="K213" s="93" t="s">
        <v>122</v>
      </c>
      <c r="L213" s="113"/>
    </row>
    <row r="214" spans="1:12" s="65" customFormat="1" ht="19.5" customHeight="1">
      <c r="A214" s="86"/>
      <c r="B214" s="86"/>
      <c r="C214" s="94">
        <v>2018</v>
      </c>
      <c r="D214" s="131">
        <f t="shared" si="33"/>
        <v>0</v>
      </c>
      <c r="E214" s="131">
        <v>0</v>
      </c>
      <c r="F214" s="131"/>
      <c r="G214" s="131"/>
      <c r="H214" s="131">
        <v>0</v>
      </c>
      <c r="I214" s="131">
        <v>0</v>
      </c>
      <c r="J214" s="93"/>
      <c r="K214" s="93"/>
      <c r="L214" s="113"/>
    </row>
    <row r="215" spans="1:12" s="65" customFormat="1" ht="19.5" customHeight="1">
      <c r="A215" s="86"/>
      <c r="B215" s="86"/>
      <c r="C215" s="132">
        <v>2019</v>
      </c>
      <c r="D215" s="133">
        <f t="shared" si="33"/>
        <v>0</v>
      </c>
      <c r="E215" s="133">
        <v>0</v>
      </c>
      <c r="F215" s="133"/>
      <c r="G215" s="133"/>
      <c r="H215" s="133">
        <v>0</v>
      </c>
      <c r="I215" s="133">
        <v>0</v>
      </c>
      <c r="J215" s="134"/>
      <c r="K215" s="93"/>
      <c r="L215" s="113"/>
    </row>
    <row r="216" spans="1:12" s="65" customFormat="1" ht="19.5" customHeight="1">
      <c r="A216" s="86"/>
      <c r="B216" s="86"/>
      <c r="C216" s="94">
        <v>2020</v>
      </c>
      <c r="D216" s="131">
        <f>J216</f>
        <v>0</v>
      </c>
      <c r="E216" s="131">
        <v>0</v>
      </c>
      <c r="F216" s="131"/>
      <c r="G216" s="131"/>
      <c r="H216" s="135">
        <v>0</v>
      </c>
      <c r="I216" s="135">
        <v>0</v>
      </c>
      <c r="J216" s="97"/>
      <c r="K216" s="98"/>
      <c r="L216" s="113"/>
    </row>
    <row r="217" spans="1:12" s="65" customFormat="1" ht="19.5" customHeight="1">
      <c r="A217" s="86"/>
      <c r="B217" s="86"/>
      <c r="C217" s="94">
        <v>2021</v>
      </c>
      <c r="D217" s="131">
        <v>0</v>
      </c>
      <c r="E217" s="131">
        <v>0</v>
      </c>
      <c r="F217" s="131"/>
      <c r="G217" s="131"/>
      <c r="H217" s="135">
        <v>0</v>
      </c>
      <c r="I217" s="135">
        <v>0</v>
      </c>
      <c r="J217" s="97"/>
      <c r="K217" s="98"/>
      <c r="L217" s="113"/>
    </row>
    <row r="218" spans="1:12" s="65" customFormat="1" ht="19.5" customHeight="1">
      <c r="A218" s="86"/>
      <c r="B218" s="86"/>
      <c r="C218" s="94">
        <v>2022</v>
      </c>
      <c r="D218" s="131">
        <v>0</v>
      </c>
      <c r="E218" s="131">
        <v>0</v>
      </c>
      <c r="F218" s="131"/>
      <c r="G218" s="131"/>
      <c r="H218" s="135">
        <v>0</v>
      </c>
      <c r="I218" s="135">
        <v>0</v>
      </c>
      <c r="J218" s="97"/>
      <c r="K218" s="98"/>
      <c r="L218" s="113"/>
    </row>
    <row r="219" spans="1:12" s="65" customFormat="1" ht="19.5" customHeight="1">
      <c r="A219" s="86"/>
      <c r="B219" s="86"/>
      <c r="C219" s="94">
        <v>2023</v>
      </c>
      <c r="D219" s="131">
        <f>I219</f>
        <v>0</v>
      </c>
      <c r="E219" s="131">
        <v>0</v>
      </c>
      <c r="F219" s="131"/>
      <c r="G219" s="131"/>
      <c r="H219" s="135">
        <v>0</v>
      </c>
      <c r="I219" s="135">
        <v>0</v>
      </c>
      <c r="J219" s="97"/>
      <c r="K219" s="98"/>
      <c r="L219" s="113"/>
    </row>
    <row r="220" spans="1:12" s="65" customFormat="1" ht="19.5" customHeight="1">
      <c r="A220" s="86"/>
      <c r="B220" s="86"/>
      <c r="C220" s="94">
        <v>2024</v>
      </c>
      <c r="D220" s="131">
        <v>0</v>
      </c>
      <c r="E220" s="131">
        <v>0</v>
      </c>
      <c r="F220" s="131"/>
      <c r="G220" s="131"/>
      <c r="H220" s="135">
        <v>0</v>
      </c>
      <c r="I220" s="135">
        <v>0</v>
      </c>
      <c r="J220" s="97"/>
      <c r="K220" s="98"/>
      <c r="L220" s="113"/>
    </row>
    <row r="221" spans="1:12" s="65" customFormat="1" ht="19.5" customHeight="1">
      <c r="A221" s="86"/>
      <c r="B221" s="86"/>
      <c r="C221" s="94">
        <v>2025</v>
      </c>
      <c r="D221" s="131">
        <v>0</v>
      </c>
      <c r="E221" s="131">
        <v>0</v>
      </c>
      <c r="F221" s="131"/>
      <c r="G221" s="131"/>
      <c r="H221" s="135">
        <v>0</v>
      </c>
      <c r="I221" s="135">
        <v>0</v>
      </c>
      <c r="J221" s="97"/>
      <c r="K221" s="98"/>
      <c r="L221" s="113"/>
    </row>
    <row r="222" spans="1:12" s="65" customFormat="1" ht="19.5" customHeight="1">
      <c r="A222" s="86" t="s">
        <v>123</v>
      </c>
      <c r="B222" s="98" t="s">
        <v>124</v>
      </c>
      <c r="C222" s="94">
        <v>2017</v>
      </c>
      <c r="D222" s="95">
        <f aca="true" t="shared" si="34" ref="D222:D233">I222</f>
        <v>1349.864</v>
      </c>
      <c r="E222" s="131">
        <v>0</v>
      </c>
      <c r="F222" s="131"/>
      <c r="G222" s="131"/>
      <c r="H222" s="135">
        <v>0</v>
      </c>
      <c r="I222" s="136">
        <v>1349.864</v>
      </c>
      <c r="J222" s="137"/>
      <c r="K222" s="98" t="s">
        <v>125</v>
      </c>
      <c r="L222" s="113"/>
    </row>
    <row r="223" spans="1:12" s="65" customFormat="1" ht="19.5" customHeight="1">
      <c r="A223" s="86"/>
      <c r="B223" s="86"/>
      <c r="C223" s="94">
        <v>2018</v>
      </c>
      <c r="D223" s="95">
        <f t="shared" si="34"/>
        <v>0</v>
      </c>
      <c r="E223" s="131">
        <v>0</v>
      </c>
      <c r="F223" s="131"/>
      <c r="G223" s="131"/>
      <c r="H223" s="135">
        <v>0</v>
      </c>
      <c r="I223" s="136">
        <v>0</v>
      </c>
      <c r="J223" s="97"/>
      <c r="K223" s="98"/>
      <c r="L223" s="113"/>
    </row>
    <row r="224" spans="1:12" s="65" customFormat="1" ht="19.5" customHeight="1">
      <c r="A224" s="86"/>
      <c r="B224" s="86"/>
      <c r="C224" s="132">
        <v>2019</v>
      </c>
      <c r="D224" s="95">
        <f t="shared" si="34"/>
        <v>0</v>
      </c>
      <c r="E224" s="131">
        <v>0</v>
      </c>
      <c r="F224" s="131"/>
      <c r="G224" s="131"/>
      <c r="H224" s="135">
        <v>0</v>
      </c>
      <c r="I224" s="136">
        <v>0</v>
      </c>
      <c r="J224" s="97"/>
      <c r="K224" s="98"/>
      <c r="L224" s="113"/>
    </row>
    <row r="225" spans="1:12" s="65" customFormat="1" ht="19.5" customHeight="1">
      <c r="A225" s="86"/>
      <c r="B225" s="86"/>
      <c r="C225" s="94">
        <v>2020</v>
      </c>
      <c r="D225" s="95">
        <f t="shared" si="34"/>
        <v>0</v>
      </c>
      <c r="E225" s="131">
        <v>0</v>
      </c>
      <c r="F225" s="131"/>
      <c r="G225" s="131"/>
      <c r="H225" s="135">
        <v>0</v>
      </c>
      <c r="I225" s="136">
        <v>0</v>
      </c>
      <c r="J225" s="97"/>
      <c r="K225" s="98"/>
      <c r="L225" s="113"/>
    </row>
    <row r="226" spans="1:12" s="65" customFormat="1" ht="19.5" customHeight="1">
      <c r="A226" s="86"/>
      <c r="B226" s="86"/>
      <c r="C226" s="94">
        <v>2021</v>
      </c>
      <c r="D226" s="95">
        <f t="shared" si="34"/>
        <v>0</v>
      </c>
      <c r="E226" s="131">
        <v>0</v>
      </c>
      <c r="F226" s="131"/>
      <c r="G226" s="131"/>
      <c r="H226" s="135">
        <v>0</v>
      </c>
      <c r="I226" s="136">
        <v>0</v>
      </c>
      <c r="J226" s="97"/>
      <c r="K226" s="98"/>
      <c r="L226" s="113"/>
    </row>
    <row r="227" spans="1:12" s="65" customFormat="1" ht="19.5" customHeight="1">
      <c r="A227" s="86"/>
      <c r="B227" s="86"/>
      <c r="C227" s="94">
        <v>2022</v>
      </c>
      <c r="D227" s="95">
        <f t="shared" si="34"/>
        <v>0</v>
      </c>
      <c r="E227" s="131">
        <v>0</v>
      </c>
      <c r="F227" s="131"/>
      <c r="G227" s="131"/>
      <c r="H227" s="135">
        <v>0</v>
      </c>
      <c r="I227" s="136">
        <v>0</v>
      </c>
      <c r="J227" s="97"/>
      <c r="K227" s="98"/>
      <c r="L227" s="113"/>
    </row>
    <row r="228" spans="1:12" s="65" customFormat="1" ht="19.5" customHeight="1">
      <c r="A228" s="86"/>
      <c r="B228" s="86"/>
      <c r="C228" s="94">
        <v>2023</v>
      </c>
      <c r="D228" s="95">
        <f t="shared" si="34"/>
        <v>0</v>
      </c>
      <c r="E228" s="131">
        <v>0</v>
      </c>
      <c r="F228" s="131"/>
      <c r="G228" s="131"/>
      <c r="H228" s="135">
        <v>0</v>
      </c>
      <c r="I228" s="136">
        <v>0</v>
      </c>
      <c r="J228" s="97"/>
      <c r="K228" s="98"/>
      <c r="L228" s="113"/>
    </row>
    <row r="229" spans="1:12" s="65" customFormat="1" ht="19.5" customHeight="1">
      <c r="A229" s="86"/>
      <c r="B229" s="86"/>
      <c r="C229" s="94">
        <v>2024</v>
      </c>
      <c r="D229" s="95">
        <f t="shared" si="34"/>
        <v>0</v>
      </c>
      <c r="E229" s="131">
        <v>0</v>
      </c>
      <c r="F229" s="131"/>
      <c r="G229" s="131"/>
      <c r="H229" s="135">
        <v>0</v>
      </c>
      <c r="I229" s="136">
        <v>0</v>
      </c>
      <c r="J229" s="97"/>
      <c r="K229" s="98"/>
      <c r="L229" s="113"/>
    </row>
    <row r="230" spans="1:12" s="65" customFormat="1" ht="19.5" customHeight="1">
      <c r="A230" s="86"/>
      <c r="B230" s="86"/>
      <c r="C230" s="94">
        <v>2025</v>
      </c>
      <c r="D230" s="95">
        <f t="shared" si="34"/>
        <v>0</v>
      </c>
      <c r="E230" s="131">
        <v>0</v>
      </c>
      <c r="F230" s="131"/>
      <c r="G230" s="131"/>
      <c r="H230" s="135">
        <v>0</v>
      </c>
      <c r="I230" s="136">
        <v>0</v>
      </c>
      <c r="J230" s="97"/>
      <c r="K230" s="98"/>
      <c r="L230" s="113"/>
    </row>
    <row r="231" spans="1:12" s="65" customFormat="1" ht="19.5" customHeight="1">
      <c r="A231" s="86" t="s">
        <v>126</v>
      </c>
      <c r="B231" s="86" t="s">
        <v>127</v>
      </c>
      <c r="C231" s="94">
        <v>2017</v>
      </c>
      <c r="D231" s="95">
        <f t="shared" si="34"/>
        <v>85</v>
      </c>
      <c r="E231" s="131">
        <v>0</v>
      </c>
      <c r="F231" s="131"/>
      <c r="G231" s="131"/>
      <c r="H231" s="135">
        <v>0</v>
      </c>
      <c r="I231" s="136">
        <v>85</v>
      </c>
      <c r="J231" s="97"/>
      <c r="K231" s="98" t="s">
        <v>128</v>
      </c>
      <c r="L231" s="113"/>
    </row>
    <row r="232" spans="1:12" s="65" customFormat="1" ht="19.5" customHeight="1">
      <c r="A232" s="86"/>
      <c r="B232" s="86"/>
      <c r="C232" s="94">
        <v>2018</v>
      </c>
      <c r="D232" s="95">
        <f t="shared" si="34"/>
        <v>0</v>
      </c>
      <c r="E232" s="131">
        <v>0</v>
      </c>
      <c r="F232" s="131"/>
      <c r="G232" s="131"/>
      <c r="H232" s="135">
        <v>0</v>
      </c>
      <c r="I232" s="136">
        <v>0</v>
      </c>
      <c r="J232" s="97"/>
      <c r="K232" s="98"/>
      <c r="L232" s="113"/>
    </row>
    <row r="233" spans="1:12" s="65" customFormat="1" ht="19.5" customHeight="1">
      <c r="A233" s="86"/>
      <c r="B233" s="86"/>
      <c r="C233" s="132">
        <v>2019</v>
      </c>
      <c r="D233" s="95">
        <f t="shared" si="34"/>
        <v>0</v>
      </c>
      <c r="E233" s="131">
        <v>0</v>
      </c>
      <c r="F233" s="131"/>
      <c r="G233" s="131"/>
      <c r="H233" s="135">
        <v>0</v>
      </c>
      <c r="I233" s="136">
        <v>0</v>
      </c>
      <c r="J233" s="97"/>
      <c r="K233" s="98"/>
      <c r="L233" s="113"/>
    </row>
    <row r="234" spans="1:12" s="65" customFormat="1" ht="19.5" customHeight="1">
      <c r="A234" s="86"/>
      <c r="B234" s="86"/>
      <c r="C234" s="94">
        <v>2020</v>
      </c>
      <c r="D234" s="95">
        <v>0</v>
      </c>
      <c r="E234" s="131">
        <v>0</v>
      </c>
      <c r="F234" s="131"/>
      <c r="G234" s="131"/>
      <c r="H234" s="135">
        <v>0</v>
      </c>
      <c r="I234" s="136">
        <v>0</v>
      </c>
      <c r="J234" s="97"/>
      <c r="K234" s="98"/>
      <c r="L234" s="113"/>
    </row>
    <row r="235" spans="1:12" s="65" customFormat="1" ht="19.5" customHeight="1">
      <c r="A235" s="86"/>
      <c r="B235" s="86"/>
      <c r="C235" s="94">
        <v>2021</v>
      </c>
      <c r="D235" s="95">
        <v>0</v>
      </c>
      <c r="E235" s="131">
        <v>0</v>
      </c>
      <c r="F235" s="131"/>
      <c r="G235" s="131"/>
      <c r="H235" s="135">
        <v>0</v>
      </c>
      <c r="I235" s="136">
        <v>0</v>
      </c>
      <c r="J235" s="97"/>
      <c r="K235" s="98"/>
      <c r="L235" s="113"/>
    </row>
    <row r="236" spans="1:12" s="65" customFormat="1" ht="19.5" customHeight="1">
      <c r="A236" s="86"/>
      <c r="B236" s="86"/>
      <c r="C236" s="94">
        <v>2022</v>
      </c>
      <c r="D236" s="95">
        <v>0</v>
      </c>
      <c r="E236" s="131">
        <v>0</v>
      </c>
      <c r="F236" s="131"/>
      <c r="G236" s="131"/>
      <c r="H236" s="135">
        <v>0</v>
      </c>
      <c r="I236" s="136">
        <v>0</v>
      </c>
      <c r="J236" s="97"/>
      <c r="K236" s="98"/>
      <c r="L236" s="113"/>
    </row>
    <row r="237" spans="1:12" s="65" customFormat="1" ht="19.5" customHeight="1">
      <c r="A237" s="86"/>
      <c r="B237" s="86"/>
      <c r="C237" s="94">
        <v>2023</v>
      </c>
      <c r="D237" s="95">
        <v>0</v>
      </c>
      <c r="E237" s="131">
        <v>0</v>
      </c>
      <c r="F237" s="131"/>
      <c r="G237" s="131"/>
      <c r="H237" s="135">
        <v>0</v>
      </c>
      <c r="I237" s="136">
        <v>0</v>
      </c>
      <c r="J237" s="97"/>
      <c r="K237" s="98"/>
      <c r="L237" s="113"/>
    </row>
    <row r="238" spans="1:12" s="65" customFormat="1" ht="19.5" customHeight="1">
      <c r="A238" s="86"/>
      <c r="B238" s="86"/>
      <c r="C238" s="94">
        <v>2024</v>
      </c>
      <c r="D238" s="95">
        <v>0</v>
      </c>
      <c r="E238" s="131">
        <v>0</v>
      </c>
      <c r="F238" s="131"/>
      <c r="G238" s="131"/>
      <c r="H238" s="135">
        <v>0</v>
      </c>
      <c r="I238" s="136">
        <v>0</v>
      </c>
      <c r="J238" s="97"/>
      <c r="K238" s="98"/>
      <c r="L238" s="113"/>
    </row>
    <row r="239" spans="1:12" s="65" customFormat="1" ht="19.5" customHeight="1">
      <c r="A239" s="86"/>
      <c r="B239" s="86"/>
      <c r="C239" s="94">
        <v>2025</v>
      </c>
      <c r="D239" s="95">
        <v>0</v>
      </c>
      <c r="E239" s="131">
        <v>0</v>
      </c>
      <c r="F239" s="131"/>
      <c r="G239" s="131"/>
      <c r="H239" s="135">
        <v>0</v>
      </c>
      <c r="I239" s="136">
        <v>0</v>
      </c>
      <c r="J239" s="97"/>
      <c r="K239" s="98"/>
      <c r="L239" s="113"/>
    </row>
    <row r="240" spans="1:12" s="65" customFormat="1" ht="19.5" customHeight="1">
      <c r="A240" s="86" t="s">
        <v>129</v>
      </c>
      <c r="B240" s="86" t="s">
        <v>130</v>
      </c>
      <c r="C240" s="94">
        <v>2017</v>
      </c>
      <c r="D240" s="95">
        <f aca="true" t="shared" si="35" ref="D240:D278">I240</f>
        <v>338.66955</v>
      </c>
      <c r="E240" s="131">
        <v>0</v>
      </c>
      <c r="F240" s="131"/>
      <c r="G240" s="131"/>
      <c r="H240" s="135">
        <v>0</v>
      </c>
      <c r="I240" s="136">
        <v>338.66955</v>
      </c>
      <c r="J240" s="97"/>
      <c r="K240" s="98" t="s">
        <v>128</v>
      </c>
      <c r="L240" s="113"/>
    </row>
    <row r="241" spans="1:12" s="65" customFormat="1" ht="19.5" customHeight="1">
      <c r="A241" s="86"/>
      <c r="B241" s="86"/>
      <c r="C241" s="94"/>
      <c r="D241" s="95">
        <f t="shared" si="35"/>
        <v>227.89</v>
      </c>
      <c r="E241" s="131">
        <v>0</v>
      </c>
      <c r="F241" s="131"/>
      <c r="G241" s="131"/>
      <c r="H241" s="135">
        <v>0</v>
      </c>
      <c r="I241" s="136">
        <v>227.89</v>
      </c>
      <c r="J241" s="97"/>
      <c r="K241" s="98" t="s">
        <v>131</v>
      </c>
      <c r="L241" s="113"/>
    </row>
    <row r="242" spans="1:12" s="65" customFormat="1" ht="19.5" customHeight="1">
      <c r="A242" s="86"/>
      <c r="B242" s="86"/>
      <c r="C242" s="94">
        <v>2018</v>
      </c>
      <c r="D242" s="95">
        <f t="shared" si="35"/>
        <v>0</v>
      </c>
      <c r="E242" s="131">
        <v>0</v>
      </c>
      <c r="F242" s="131"/>
      <c r="G242" s="131"/>
      <c r="H242" s="135">
        <v>0</v>
      </c>
      <c r="I242" s="136">
        <v>0</v>
      </c>
      <c r="J242" s="97"/>
      <c r="K242" s="98"/>
      <c r="L242" s="113"/>
    </row>
    <row r="243" spans="1:12" s="65" customFormat="1" ht="19.5" customHeight="1">
      <c r="A243" s="86"/>
      <c r="B243" s="86"/>
      <c r="C243" s="94">
        <v>2019</v>
      </c>
      <c r="D243" s="95">
        <f t="shared" si="35"/>
        <v>0</v>
      </c>
      <c r="E243" s="131">
        <v>0</v>
      </c>
      <c r="F243" s="131"/>
      <c r="G243" s="131"/>
      <c r="H243" s="135">
        <v>0</v>
      </c>
      <c r="I243" s="136">
        <v>0</v>
      </c>
      <c r="J243" s="97"/>
      <c r="K243" s="98"/>
      <c r="L243" s="113"/>
    </row>
    <row r="244" spans="1:12" s="65" customFormat="1" ht="19.5" customHeight="1">
      <c r="A244" s="86"/>
      <c r="B244" s="86"/>
      <c r="C244" s="94">
        <v>2020</v>
      </c>
      <c r="D244" s="95">
        <f t="shared" si="35"/>
        <v>0</v>
      </c>
      <c r="E244" s="131">
        <v>0</v>
      </c>
      <c r="F244" s="131"/>
      <c r="G244" s="131"/>
      <c r="H244" s="135">
        <v>0</v>
      </c>
      <c r="I244" s="136">
        <v>0</v>
      </c>
      <c r="J244" s="97"/>
      <c r="K244" s="98"/>
      <c r="L244" s="113"/>
    </row>
    <row r="245" spans="1:12" s="65" customFormat="1" ht="19.5" customHeight="1">
      <c r="A245" s="86"/>
      <c r="B245" s="86"/>
      <c r="C245" s="94">
        <v>2021</v>
      </c>
      <c r="D245" s="95">
        <f t="shared" si="35"/>
        <v>0</v>
      </c>
      <c r="E245" s="131">
        <v>0</v>
      </c>
      <c r="F245" s="131"/>
      <c r="G245" s="131"/>
      <c r="H245" s="135">
        <v>0</v>
      </c>
      <c r="I245" s="136">
        <v>0</v>
      </c>
      <c r="J245" s="97"/>
      <c r="K245" s="98"/>
      <c r="L245" s="113"/>
    </row>
    <row r="246" spans="1:12" s="65" customFormat="1" ht="19.5" customHeight="1">
      <c r="A246" s="86"/>
      <c r="B246" s="86"/>
      <c r="C246" s="94">
        <v>2022</v>
      </c>
      <c r="D246" s="95">
        <f t="shared" si="35"/>
        <v>0</v>
      </c>
      <c r="E246" s="131">
        <v>0</v>
      </c>
      <c r="F246" s="131"/>
      <c r="G246" s="131"/>
      <c r="H246" s="135">
        <v>0</v>
      </c>
      <c r="I246" s="136">
        <v>0</v>
      </c>
      <c r="J246" s="97"/>
      <c r="K246" s="98"/>
      <c r="L246" s="113"/>
    </row>
    <row r="247" spans="1:12" s="65" customFormat="1" ht="19.5" customHeight="1">
      <c r="A247" s="86"/>
      <c r="B247" s="86"/>
      <c r="C247" s="109">
        <v>2023</v>
      </c>
      <c r="D247" s="110">
        <f t="shared" si="35"/>
        <v>312.75791000000004</v>
      </c>
      <c r="E247" s="138">
        <v>0</v>
      </c>
      <c r="F247" s="138"/>
      <c r="G247" s="138"/>
      <c r="H247" s="139">
        <v>0</v>
      </c>
      <c r="I247" s="140">
        <f>27.366+163.33373+130.886-8.82782</f>
        <v>312.75791000000004</v>
      </c>
      <c r="J247" s="97"/>
      <c r="K247" s="98" t="s">
        <v>131</v>
      </c>
      <c r="L247" s="113"/>
    </row>
    <row r="248" spans="1:12" s="65" customFormat="1" ht="19.5" customHeight="1">
      <c r="A248" s="86"/>
      <c r="B248" s="86"/>
      <c r="C248" s="94">
        <v>2024</v>
      </c>
      <c r="D248" s="95">
        <f t="shared" si="35"/>
        <v>0</v>
      </c>
      <c r="E248" s="131">
        <v>0</v>
      </c>
      <c r="F248" s="131"/>
      <c r="G248" s="131"/>
      <c r="H248" s="135">
        <v>0</v>
      </c>
      <c r="I248" s="136">
        <v>0</v>
      </c>
      <c r="J248" s="97"/>
      <c r="K248" s="98"/>
      <c r="L248" s="113"/>
    </row>
    <row r="249" spans="1:12" s="65" customFormat="1" ht="19.5" customHeight="1">
      <c r="A249" s="86"/>
      <c r="B249" s="86"/>
      <c r="C249" s="94">
        <v>2025</v>
      </c>
      <c r="D249" s="95">
        <f t="shared" si="35"/>
        <v>0</v>
      </c>
      <c r="E249" s="131">
        <v>0</v>
      </c>
      <c r="F249" s="131"/>
      <c r="G249" s="131"/>
      <c r="H249" s="135">
        <v>0</v>
      </c>
      <c r="I249" s="136">
        <v>0</v>
      </c>
      <c r="J249" s="97"/>
      <c r="K249" s="98"/>
      <c r="L249" s="113"/>
    </row>
    <row r="250" spans="1:12" s="65" customFormat="1" ht="19.5" customHeight="1">
      <c r="A250" s="86" t="s">
        <v>132</v>
      </c>
      <c r="B250" s="86" t="s">
        <v>133</v>
      </c>
      <c r="C250" s="94">
        <v>2017</v>
      </c>
      <c r="D250" s="95">
        <f t="shared" si="35"/>
        <v>464</v>
      </c>
      <c r="E250" s="131">
        <v>0</v>
      </c>
      <c r="F250" s="131"/>
      <c r="G250" s="131"/>
      <c r="H250" s="135">
        <v>0</v>
      </c>
      <c r="I250" s="136">
        <v>464</v>
      </c>
      <c r="J250" s="97"/>
      <c r="K250" s="98" t="s">
        <v>134</v>
      </c>
      <c r="L250" s="113"/>
    </row>
    <row r="251" spans="1:12" s="65" customFormat="1" ht="19.5" customHeight="1">
      <c r="A251" s="86"/>
      <c r="B251" s="86"/>
      <c r="C251" s="94">
        <v>2018</v>
      </c>
      <c r="D251" s="95">
        <f t="shared" si="35"/>
        <v>0</v>
      </c>
      <c r="E251" s="131">
        <v>0</v>
      </c>
      <c r="F251" s="131"/>
      <c r="G251" s="131"/>
      <c r="H251" s="135">
        <v>0</v>
      </c>
      <c r="I251" s="136">
        <v>0</v>
      </c>
      <c r="J251" s="97"/>
      <c r="K251" s="98"/>
      <c r="L251" s="113"/>
    </row>
    <row r="252" spans="1:12" s="65" customFormat="1" ht="19.5" customHeight="1">
      <c r="A252" s="86"/>
      <c r="B252" s="86"/>
      <c r="C252" s="94">
        <v>2019</v>
      </c>
      <c r="D252" s="95">
        <f t="shared" si="35"/>
        <v>0</v>
      </c>
      <c r="E252" s="131">
        <v>0</v>
      </c>
      <c r="F252" s="131"/>
      <c r="G252" s="131"/>
      <c r="H252" s="135">
        <v>0</v>
      </c>
      <c r="I252" s="136">
        <v>0</v>
      </c>
      <c r="J252" s="97"/>
      <c r="K252" s="98"/>
      <c r="L252" s="113"/>
    </row>
    <row r="253" spans="1:12" s="65" customFormat="1" ht="19.5" customHeight="1">
      <c r="A253" s="86"/>
      <c r="B253" s="86"/>
      <c r="C253" s="94">
        <v>2020</v>
      </c>
      <c r="D253" s="95">
        <f t="shared" si="35"/>
        <v>0</v>
      </c>
      <c r="E253" s="131">
        <v>0</v>
      </c>
      <c r="F253" s="131"/>
      <c r="G253" s="131"/>
      <c r="H253" s="135">
        <v>0</v>
      </c>
      <c r="I253" s="136">
        <v>0</v>
      </c>
      <c r="J253" s="97"/>
      <c r="K253" s="98"/>
      <c r="L253" s="113"/>
    </row>
    <row r="254" spans="1:12" s="65" customFormat="1" ht="19.5" customHeight="1">
      <c r="A254" s="86"/>
      <c r="B254" s="86"/>
      <c r="C254" s="94">
        <v>2021</v>
      </c>
      <c r="D254" s="95">
        <f t="shared" si="35"/>
        <v>0</v>
      </c>
      <c r="E254" s="131">
        <v>0</v>
      </c>
      <c r="F254" s="131"/>
      <c r="G254" s="131"/>
      <c r="H254" s="135">
        <v>0</v>
      </c>
      <c r="I254" s="136">
        <v>0</v>
      </c>
      <c r="J254" s="97"/>
      <c r="K254" s="98"/>
      <c r="L254" s="113"/>
    </row>
    <row r="255" spans="1:12" s="65" customFormat="1" ht="19.5" customHeight="1">
      <c r="A255" s="86"/>
      <c r="B255" s="86"/>
      <c r="C255" s="94">
        <v>2022</v>
      </c>
      <c r="D255" s="95">
        <f t="shared" si="35"/>
        <v>0</v>
      </c>
      <c r="E255" s="131">
        <v>0</v>
      </c>
      <c r="F255" s="131"/>
      <c r="G255" s="131"/>
      <c r="H255" s="135">
        <v>0</v>
      </c>
      <c r="I255" s="136">
        <v>0</v>
      </c>
      <c r="J255" s="97"/>
      <c r="K255" s="98"/>
      <c r="L255" s="113"/>
    </row>
    <row r="256" spans="1:12" s="65" customFormat="1" ht="19.5" customHeight="1">
      <c r="A256" s="86"/>
      <c r="B256" s="86"/>
      <c r="C256" s="94">
        <v>2023</v>
      </c>
      <c r="D256" s="95">
        <f t="shared" si="35"/>
        <v>0</v>
      </c>
      <c r="E256" s="131">
        <v>0</v>
      </c>
      <c r="F256" s="131"/>
      <c r="G256" s="131"/>
      <c r="H256" s="135">
        <v>0</v>
      </c>
      <c r="I256" s="136">
        <v>0</v>
      </c>
      <c r="J256" s="97"/>
      <c r="K256" s="98"/>
      <c r="L256" s="113"/>
    </row>
    <row r="257" spans="1:12" s="65" customFormat="1" ht="19.5" customHeight="1">
      <c r="A257" s="86"/>
      <c r="B257" s="86"/>
      <c r="C257" s="94">
        <v>2024</v>
      </c>
      <c r="D257" s="95">
        <f t="shared" si="35"/>
        <v>0</v>
      </c>
      <c r="E257" s="131">
        <v>0</v>
      </c>
      <c r="F257" s="131"/>
      <c r="G257" s="131"/>
      <c r="H257" s="135">
        <v>0</v>
      </c>
      <c r="I257" s="136">
        <v>0</v>
      </c>
      <c r="J257" s="97"/>
      <c r="K257" s="98"/>
      <c r="L257" s="113"/>
    </row>
    <row r="258" spans="1:12" s="65" customFormat="1" ht="19.5" customHeight="1">
      <c r="A258" s="86"/>
      <c r="B258" s="86"/>
      <c r="C258" s="94">
        <v>2025</v>
      </c>
      <c r="D258" s="95">
        <f t="shared" si="35"/>
        <v>0</v>
      </c>
      <c r="E258" s="131">
        <v>0</v>
      </c>
      <c r="F258" s="131"/>
      <c r="G258" s="131"/>
      <c r="H258" s="135">
        <v>0</v>
      </c>
      <c r="I258" s="136">
        <v>0</v>
      </c>
      <c r="J258" s="97"/>
      <c r="K258" s="98"/>
      <c r="L258" s="113"/>
    </row>
    <row r="259" spans="1:12" s="141" customFormat="1" ht="19.5" customHeight="1">
      <c r="A259" s="86" t="s">
        <v>135</v>
      </c>
      <c r="B259" s="86" t="s">
        <v>136</v>
      </c>
      <c r="C259" s="94">
        <v>2017</v>
      </c>
      <c r="D259" s="95">
        <f t="shared" si="35"/>
        <v>0</v>
      </c>
      <c r="E259" s="131">
        <v>0</v>
      </c>
      <c r="F259" s="131"/>
      <c r="G259" s="131"/>
      <c r="H259" s="135">
        <v>0</v>
      </c>
      <c r="I259" s="136">
        <v>0</v>
      </c>
      <c r="J259" s="97"/>
      <c r="K259" s="98"/>
      <c r="L259" s="113"/>
    </row>
    <row r="260" spans="1:12" s="141" customFormat="1" ht="19.5" customHeight="1">
      <c r="A260" s="86"/>
      <c r="B260" s="86"/>
      <c r="C260" s="82">
        <v>2018</v>
      </c>
      <c r="D260" s="86">
        <f t="shared" si="35"/>
        <v>195</v>
      </c>
      <c r="E260" s="131">
        <v>0</v>
      </c>
      <c r="F260" s="131"/>
      <c r="G260" s="131"/>
      <c r="H260" s="135">
        <v>0</v>
      </c>
      <c r="I260" s="86">
        <f>200-5</f>
        <v>195</v>
      </c>
      <c r="J260" s="97"/>
      <c r="K260" s="93" t="s">
        <v>137</v>
      </c>
      <c r="L260" s="113"/>
    </row>
    <row r="261" spans="1:12" s="141" customFormat="1" ht="19.5" customHeight="1">
      <c r="A261" s="86"/>
      <c r="B261" s="86"/>
      <c r="C261" s="82">
        <v>2019</v>
      </c>
      <c r="D261" s="86">
        <f t="shared" si="35"/>
        <v>0</v>
      </c>
      <c r="E261" s="131">
        <v>0</v>
      </c>
      <c r="F261" s="131"/>
      <c r="G261" s="131"/>
      <c r="H261" s="135">
        <v>0</v>
      </c>
      <c r="I261" s="86">
        <v>0</v>
      </c>
      <c r="J261" s="97"/>
      <c r="K261" s="93"/>
      <c r="L261" s="113"/>
    </row>
    <row r="262" spans="1:12" s="141" customFormat="1" ht="19.5" customHeight="1">
      <c r="A262" s="86"/>
      <c r="B262" s="86"/>
      <c r="C262" s="82">
        <v>2020</v>
      </c>
      <c r="D262" s="86">
        <f t="shared" si="35"/>
        <v>0</v>
      </c>
      <c r="E262" s="131">
        <v>0</v>
      </c>
      <c r="F262" s="131"/>
      <c r="G262" s="131"/>
      <c r="H262" s="135">
        <v>0</v>
      </c>
      <c r="I262" s="86">
        <v>0</v>
      </c>
      <c r="J262" s="97"/>
      <c r="K262" s="93"/>
      <c r="L262" s="113"/>
    </row>
    <row r="263" spans="1:12" s="141" customFormat="1" ht="19.5" customHeight="1">
      <c r="A263" s="86"/>
      <c r="B263" s="86"/>
      <c r="C263" s="82">
        <v>2021</v>
      </c>
      <c r="D263" s="86">
        <f t="shared" si="35"/>
        <v>0</v>
      </c>
      <c r="E263" s="131">
        <v>0</v>
      </c>
      <c r="F263" s="131"/>
      <c r="G263" s="131"/>
      <c r="H263" s="135">
        <v>0</v>
      </c>
      <c r="I263" s="86">
        <v>0</v>
      </c>
      <c r="J263" s="97"/>
      <c r="K263" s="93"/>
      <c r="L263" s="113"/>
    </row>
    <row r="264" spans="1:12" s="141" customFormat="1" ht="19.5" customHeight="1">
      <c r="A264" s="86"/>
      <c r="B264" s="86"/>
      <c r="C264" s="82">
        <v>2022</v>
      </c>
      <c r="D264" s="86">
        <f t="shared" si="35"/>
        <v>0</v>
      </c>
      <c r="E264" s="131">
        <v>0</v>
      </c>
      <c r="F264" s="131"/>
      <c r="G264" s="131"/>
      <c r="H264" s="135">
        <v>0</v>
      </c>
      <c r="I264" s="86">
        <v>0</v>
      </c>
      <c r="J264" s="97"/>
      <c r="K264" s="93"/>
      <c r="L264" s="113"/>
    </row>
    <row r="265" spans="1:12" s="141" customFormat="1" ht="19.5" customHeight="1">
      <c r="A265" s="86"/>
      <c r="B265" s="86"/>
      <c r="C265" s="82">
        <v>2023</v>
      </c>
      <c r="D265" s="86">
        <f t="shared" si="35"/>
        <v>0</v>
      </c>
      <c r="E265" s="131">
        <v>0</v>
      </c>
      <c r="F265" s="131"/>
      <c r="G265" s="131"/>
      <c r="H265" s="135">
        <v>0</v>
      </c>
      <c r="I265" s="86">
        <v>0</v>
      </c>
      <c r="J265" s="97"/>
      <c r="K265" s="93"/>
      <c r="L265" s="113"/>
    </row>
    <row r="266" spans="1:12" s="141" customFormat="1" ht="19.5" customHeight="1">
      <c r="A266" s="86"/>
      <c r="B266" s="86"/>
      <c r="C266" s="82">
        <v>2024</v>
      </c>
      <c r="D266" s="86">
        <f t="shared" si="35"/>
        <v>0</v>
      </c>
      <c r="E266" s="131">
        <v>0</v>
      </c>
      <c r="F266" s="131"/>
      <c r="G266" s="131"/>
      <c r="H266" s="135">
        <v>0</v>
      </c>
      <c r="I266" s="86">
        <v>0</v>
      </c>
      <c r="J266" s="97"/>
      <c r="K266" s="93"/>
      <c r="L266" s="113"/>
    </row>
    <row r="267" spans="1:12" s="141" customFormat="1" ht="19.5" customHeight="1">
      <c r="A267" s="86"/>
      <c r="B267" s="86"/>
      <c r="C267" s="82">
        <v>2025</v>
      </c>
      <c r="D267" s="86">
        <f t="shared" si="35"/>
        <v>0</v>
      </c>
      <c r="E267" s="131">
        <v>0</v>
      </c>
      <c r="F267" s="131"/>
      <c r="G267" s="131"/>
      <c r="H267" s="135">
        <v>0</v>
      </c>
      <c r="I267" s="86">
        <v>0</v>
      </c>
      <c r="J267" s="97"/>
      <c r="K267" s="93"/>
      <c r="L267" s="113"/>
    </row>
    <row r="268" spans="1:12" s="141" customFormat="1" ht="19.5" customHeight="1">
      <c r="A268" s="86" t="s">
        <v>138</v>
      </c>
      <c r="B268" s="86" t="s">
        <v>139</v>
      </c>
      <c r="C268" s="82">
        <v>2017</v>
      </c>
      <c r="D268" s="86">
        <f t="shared" si="35"/>
        <v>0</v>
      </c>
      <c r="E268" s="131">
        <v>0</v>
      </c>
      <c r="F268" s="131"/>
      <c r="G268" s="131"/>
      <c r="H268" s="135">
        <v>0</v>
      </c>
      <c r="I268" s="86">
        <v>0</v>
      </c>
      <c r="J268" s="97"/>
      <c r="K268" s="93"/>
      <c r="L268" s="113"/>
    </row>
    <row r="269" spans="1:12" s="141" customFormat="1" ht="19.5" customHeight="1">
      <c r="A269" s="86"/>
      <c r="B269" s="86"/>
      <c r="C269" s="82">
        <v>2018</v>
      </c>
      <c r="D269" s="86">
        <f t="shared" si="35"/>
        <v>1995.79</v>
      </c>
      <c r="E269" s="131">
        <v>0</v>
      </c>
      <c r="F269" s="131"/>
      <c r="G269" s="131"/>
      <c r="H269" s="135">
        <v>0</v>
      </c>
      <c r="I269" s="86">
        <f>1995.79</f>
        <v>1995.79</v>
      </c>
      <c r="J269" s="97"/>
      <c r="K269" s="142" t="s">
        <v>128</v>
      </c>
      <c r="L269" s="113"/>
    </row>
    <row r="270" spans="1:12" s="141" customFormat="1" ht="19.5" customHeight="1">
      <c r="A270" s="86"/>
      <c r="B270" s="86"/>
      <c r="C270" s="82">
        <v>2019</v>
      </c>
      <c r="D270" s="86">
        <f t="shared" si="35"/>
        <v>0</v>
      </c>
      <c r="E270" s="131">
        <v>0</v>
      </c>
      <c r="F270" s="131"/>
      <c r="G270" s="131"/>
      <c r="H270" s="135">
        <v>0</v>
      </c>
      <c r="I270" s="86">
        <v>0</v>
      </c>
      <c r="J270" s="97"/>
      <c r="K270" s="142"/>
      <c r="L270" s="113"/>
    </row>
    <row r="271" spans="1:12" s="141" customFormat="1" ht="19.5" customHeight="1">
      <c r="A271" s="86"/>
      <c r="B271" s="86"/>
      <c r="C271" s="82">
        <v>2020</v>
      </c>
      <c r="D271" s="86">
        <f t="shared" si="35"/>
        <v>0</v>
      </c>
      <c r="E271" s="131">
        <v>0</v>
      </c>
      <c r="F271" s="131"/>
      <c r="G271" s="131"/>
      <c r="H271" s="135">
        <v>0</v>
      </c>
      <c r="I271" s="86">
        <v>0</v>
      </c>
      <c r="J271" s="97"/>
      <c r="K271" s="142"/>
      <c r="L271" s="113"/>
    </row>
    <row r="272" spans="1:12" s="141" customFormat="1" ht="19.5" customHeight="1">
      <c r="A272" s="86"/>
      <c r="B272" s="86"/>
      <c r="C272" s="82">
        <v>2021</v>
      </c>
      <c r="D272" s="86">
        <f t="shared" si="35"/>
        <v>0</v>
      </c>
      <c r="E272" s="131">
        <v>0</v>
      </c>
      <c r="F272" s="131"/>
      <c r="G272" s="131"/>
      <c r="H272" s="135">
        <v>0</v>
      </c>
      <c r="I272" s="86">
        <v>0</v>
      </c>
      <c r="J272" s="97"/>
      <c r="K272" s="98"/>
      <c r="L272" s="113"/>
    </row>
    <row r="273" spans="1:12" s="141" customFormat="1" ht="19.5" customHeight="1">
      <c r="A273" s="86"/>
      <c r="B273" s="86"/>
      <c r="C273" s="82">
        <v>2022</v>
      </c>
      <c r="D273" s="86">
        <f t="shared" si="35"/>
        <v>0</v>
      </c>
      <c r="E273" s="131">
        <v>0</v>
      </c>
      <c r="F273" s="131"/>
      <c r="G273" s="131"/>
      <c r="H273" s="135">
        <v>0</v>
      </c>
      <c r="I273" s="86">
        <v>0</v>
      </c>
      <c r="J273" s="97"/>
      <c r="K273" s="98"/>
      <c r="L273" s="113"/>
    </row>
    <row r="274" spans="1:12" s="141" customFormat="1" ht="19.5" customHeight="1">
      <c r="A274" s="86"/>
      <c r="B274" s="86"/>
      <c r="C274" s="82">
        <v>2023</v>
      </c>
      <c r="D274" s="86">
        <f t="shared" si="35"/>
        <v>0</v>
      </c>
      <c r="E274" s="131">
        <v>0</v>
      </c>
      <c r="F274" s="131"/>
      <c r="G274" s="131"/>
      <c r="H274" s="135">
        <v>0</v>
      </c>
      <c r="I274" s="86">
        <v>0</v>
      </c>
      <c r="J274" s="97"/>
      <c r="K274" s="98"/>
      <c r="L274" s="113"/>
    </row>
    <row r="275" spans="1:12" s="141" customFormat="1" ht="19.5" customHeight="1">
      <c r="A275" s="86"/>
      <c r="B275" s="86"/>
      <c r="C275" s="82">
        <v>2024</v>
      </c>
      <c r="D275" s="86">
        <f t="shared" si="35"/>
        <v>0</v>
      </c>
      <c r="E275" s="131">
        <v>0</v>
      </c>
      <c r="F275" s="131"/>
      <c r="G275" s="131"/>
      <c r="H275" s="135">
        <v>0</v>
      </c>
      <c r="I275" s="86">
        <v>0</v>
      </c>
      <c r="J275" s="97"/>
      <c r="K275" s="98"/>
      <c r="L275" s="113"/>
    </row>
    <row r="276" spans="1:12" s="141" customFormat="1" ht="19.5" customHeight="1">
      <c r="A276" s="86"/>
      <c r="B276" s="86"/>
      <c r="C276" s="82">
        <v>2025</v>
      </c>
      <c r="D276" s="86">
        <f t="shared" si="35"/>
        <v>0</v>
      </c>
      <c r="E276" s="131">
        <v>0</v>
      </c>
      <c r="F276" s="131"/>
      <c r="G276" s="131"/>
      <c r="H276" s="135">
        <v>0</v>
      </c>
      <c r="I276" s="86">
        <v>0</v>
      </c>
      <c r="J276" s="97"/>
      <c r="K276" s="98"/>
      <c r="L276" s="113"/>
    </row>
    <row r="277" spans="1:12" s="141" customFormat="1" ht="19.5" customHeight="1">
      <c r="A277" s="86" t="s">
        <v>140</v>
      </c>
      <c r="B277" s="86" t="s">
        <v>141</v>
      </c>
      <c r="C277" s="82">
        <v>2017</v>
      </c>
      <c r="D277" s="86">
        <f t="shared" si="35"/>
        <v>0</v>
      </c>
      <c r="E277" s="131">
        <v>0</v>
      </c>
      <c r="F277" s="131"/>
      <c r="G277" s="131"/>
      <c r="H277" s="135">
        <v>0</v>
      </c>
      <c r="I277" s="86">
        <v>0</v>
      </c>
      <c r="J277" s="97"/>
      <c r="K277" s="98"/>
      <c r="L277" s="113"/>
    </row>
    <row r="278" spans="1:12" s="141" customFormat="1" ht="19.5" customHeight="1">
      <c r="A278" s="86"/>
      <c r="B278" s="86"/>
      <c r="C278" s="82">
        <v>2018</v>
      </c>
      <c r="D278" s="86">
        <f t="shared" si="35"/>
        <v>430.48148</v>
      </c>
      <c r="E278" s="131">
        <v>0</v>
      </c>
      <c r="F278" s="131"/>
      <c r="G278" s="131"/>
      <c r="H278" s="135">
        <v>0</v>
      </c>
      <c r="I278" s="86">
        <v>430.48148</v>
      </c>
      <c r="J278" s="97"/>
      <c r="K278" s="142" t="s">
        <v>128</v>
      </c>
      <c r="L278" s="113"/>
    </row>
    <row r="279" spans="1:12" s="141" customFormat="1" ht="19.5" customHeight="1">
      <c r="A279" s="86"/>
      <c r="B279" s="86"/>
      <c r="C279" s="82">
        <v>2019</v>
      </c>
      <c r="D279" s="86">
        <f aca="true" t="shared" si="36" ref="D279:D285">I279+H279+E279</f>
        <v>19.10327</v>
      </c>
      <c r="E279" s="131">
        <v>0</v>
      </c>
      <c r="F279" s="131"/>
      <c r="G279" s="131"/>
      <c r="H279" s="135">
        <v>0</v>
      </c>
      <c r="I279" s="86">
        <v>19.10327</v>
      </c>
      <c r="J279" s="97"/>
      <c r="K279" s="142"/>
      <c r="L279" s="113"/>
    </row>
    <row r="280" spans="1:12" s="141" customFormat="1" ht="19.5" customHeight="1">
      <c r="A280" s="86"/>
      <c r="B280" s="86"/>
      <c r="C280" s="82">
        <v>2020</v>
      </c>
      <c r="D280" s="86">
        <f t="shared" si="36"/>
        <v>0</v>
      </c>
      <c r="E280" s="131">
        <v>0</v>
      </c>
      <c r="F280" s="131"/>
      <c r="G280" s="131"/>
      <c r="H280" s="135">
        <v>0</v>
      </c>
      <c r="I280" s="86">
        <v>0</v>
      </c>
      <c r="J280" s="97"/>
      <c r="K280" s="142"/>
      <c r="L280" s="113"/>
    </row>
    <row r="281" spans="1:12" s="141" customFormat="1" ht="19.5" customHeight="1">
      <c r="A281" s="86"/>
      <c r="B281" s="86"/>
      <c r="C281" s="82">
        <v>2021</v>
      </c>
      <c r="D281" s="86">
        <f t="shared" si="36"/>
        <v>0</v>
      </c>
      <c r="E281" s="131">
        <v>0</v>
      </c>
      <c r="F281" s="131"/>
      <c r="G281" s="131"/>
      <c r="H281" s="135">
        <v>0</v>
      </c>
      <c r="I281" s="86">
        <v>0</v>
      </c>
      <c r="J281" s="97"/>
      <c r="K281" s="142"/>
      <c r="L281" s="113"/>
    </row>
    <row r="282" spans="1:12" s="141" customFormat="1" ht="19.5" customHeight="1">
      <c r="A282" s="86"/>
      <c r="B282" s="86"/>
      <c r="C282" s="82">
        <v>2022</v>
      </c>
      <c r="D282" s="86">
        <f t="shared" si="36"/>
        <v>0</v>
      </c>
      <c r="E282" s="131">
        <v>0</v>
      </c>
      <c r="F282" s="131"/>
      <c r="G282" s="131"/>
      <c r="H282" s="135">
        <v>0</v>
      </c>
      <c r="I282" s="86">
        <v>0</v>
      </c>
      <c r="J282" s="97"/>
      <c r="K282" s="142"/>
      <c r="L282" s="113"/>
    </row>
    <row r="283" spans="1:12" s="141" customFormat="1" ht="19.5" customHeight="1">
      <c r="A283" s="86"/>
      <c r="B283" s="86"/>
      <c r="C283" s="82">
        <v>2023</v>
      </c>
      <c r="D283" s="86">
        <f t="shared" si="36"/>
        <v>0</v>
      </c>
      <c r="E283" s="131">
        <v>0</v>
      </c>
      <c r="F283" s="131"/>
      <c r="G283" s="131"/>
      <c r="H283" s="135">
        <v>0</v>
      </c>
      <c r="I283" s="86">
        <v>0</v>
      </c>
      <c r="J283" s="97"/>
      <c r="K283" s="142"/>
      <c r="L283" s="113"/>
    </row>
    <row r="284" spans="1:12" s="141" customFormat="1" ht="19.5" customHeight="1">
      <c r="A284" s="86"/>
      <c r="B284" s="86"/>
      <c r="C284" s="82">
        <v>2024</v>
      </c>
      <c r="D284" s="86">
        <f t="shared" si="36"/>
        <v>0</v>
      </c>
      <c r="E284" s="131">
        <v>0</v>
      </c>
      <c r="F284" s="131"/>
      <c r="G284" s="131"/>
      <c r="H284" s="135">
        <v>0</v>
      </c>
      <c r="I284" s="86">
        <v>0</v>
      </c>
      <c r="J284" s="97"/>
      <c r="K284" s="142"/>
      <c r="L284" s="113"/>
    </row>
    <row r="285" spans="1:12" s="141" customFormat="1" ht="19.5" customHeight="1">
      <c r="A285" s="86"/>
      <c r="B285" s="86"/>
      <c r="C285" s="82">
        <v>2025</v>
      </c>
      <c r="D285" s="86">
        <f t="shared" si="36"/>
        <v>0</v>
      </c>
      <c r="E285" s="131">
        <v>0</v>
      </c>
      <c r="F285" s="131"/>
      <c r="G285" s="131"/>
      <c r="H285" s="135">
        <v>0</v>
      </c>
      <c r="I285" s="86">
        <v>0</v>
      </c>
      <c r="J285" s="97"/>
      <c r="K285" s="142"/>
      <c r="L285" s="113"/>
    </row>
    <row r="286" spans="1:12" s="141" customFormat="1" ht="19.5" customHeight="1">
      <c r="A286" s="86" t="s">
        <v>142</v>
      </c>
      <c r="B286" s="86" t="s">
        <v>143</v>
      </c>
      <c r="C286" s="82">
        <v>2017</v>
      </c>
      <c r="D286" s="86">
        <f>I286</f>
        <v>0</v>
      </c>
      <c r="E286" s="131">
        <v>0</v>
      </c>
      <c r="F286" s="131"/>
      <c r="G286" s="131"/>
      <c r="H286" s="135">
        <v>0</v>
      </c>
      <c r="I286" s="86">
        <v>0</v>
      </c>
      <c r="J286" s="97"/>
      <c r="K286" s="142"/>
      <c r="L286" s="113"/>
    </row>
    <row r="287" spans="1:12" s="141" customFormat="1" ht="19.5" customHeight="1">
      <c r="A287" s="86"/>
      <c r="B287" s="86"/>
      <c r="C287" s="82">
        <v>2018</v>
      </c>
      <c r="D287" s="86">
        <f aca="true" t="shared" si="37" ref="D287:D294">E287+H287+I287</f>
        <v>99</v>
      </c>
      <c r="E287" s="131">
        <v>0</v>
      </c>
      <c r="F287" s="131"/>
      <c r="G287" s="131"/>
      <c r="H287" s="135">
        <v>0</v>
      </c>
      <c r="I287" s="86">
        <f>700-601</f>
        <v>99</v>
      </c>
      <c r="J287" s="97"/>
      <c r="K287" s="93" t="s">
        <v>128</v>
      </c>
      <c r="L287" s="113"/>
    </row>
    <row r="288" spans="1:12" s="141" customFormat="1" ht="19.5" customHeight="1">
      <c r="A288" s="86"/>
      <c r="B288" s="86"/>
      <c r="C288" s="82">
        <v>2019</v>
      </c>
      <c r="D288" s="86">
        <f t="shared" si="37"/>
        <v>1466.86667</v>
      </c>
      <c r="E288" s="131">
        <v>0</v>
      </c>
      <c r="F288" s="131"/>
      <c r="G288" s="131"/>
      <c r="H288" s="135">
        <v>0</v>
      </c>
      <c r="I288" s="86">
        <f>1466.86667</f>
        <v>1466.86667</v>
      </c>
      <c r="J288" s="97"/>
      <c r="K288" s="143" t="s">
        <v>128</v>
      </c>
      <c r="L288" s="113"/>
    </row>
    <row r="289" spans="1:12" s="141" customFormat="1" ht="19.5" customHeight="1">
      <c r="A289" s="86"/>
      <c r="B289" s="86"/>
      <c r="C289" s="82">
        <v>2020</v>
      </c>
      <c r="D289" s="86">
        <f t="shared" si="37"/>
        <v>1466.86667</v>
      </c>
      <c r="E289" s="131">
        <v>0</v>
      </c>
      <c r="F289" s="131"/>
      <c r="G289" s="131"/>
      <c r="H289" s="135">
        <v>0</v>
      </c>
      <c r="I289" s="86">
        <v>1466.86667</v>
      </c>
      <c r="J289" s="97"/>
      <c r="K289" s="143"/>
      <c r="L289" s="113"/>
    </row>
    <row r="290" spans="1:12" s="141" customFormat="1" ht="19.5" customHeight="1">
      <c r="A290" s="86"/>
      <c r="B290" s="86"/>
      <c r="C290" s="82">
        <v>2021</v>
      </c>
      <c r="D290" s="86">
        <f t="shared" si="37"/>
        <v>0</v>
      </c>
      <c r="E290" s="131">
        <v>0</v>
      </c>
      <c r="F290" s="131"/>
      <c r="G290" s="131"/>
      <c r="H290" s="135">
        <v>0</v>
      </c>
      <c r="I290" s="86">
        <v>0</v>
      </c>
      <c r="J290" s="97"/>
      <c r="K290" s="93"/>
      <c r="L290" s="113"/>
    </row>
    <row r="291" spans="1:12" s="141" customFormat="1" ht="19.5" customHeight="1">
      <c r="A291" s="86"/>
      <c r="B291" s="86"/>
      <c r="C291" s="82">
        <v>2022</v>
      </c>
      <c r="D291" s="86">
        <f t="shared" si="37"/>
        <v>0</v>
      </c>
      <c r="E291" s="131">
        <v>0</v>
      </c>
      <c r="F291" s="131"/>
      <c r="G291" s="131"/>
      <c r="H291" s="135">
        <v>0</v>
      </c>
      <c r="I291" s="86">
        <v>0</v>
      </c>
      <c r="J291" s="97"/>
      <c r="K291" s="93"/>
      <c r="L291" s="113"/>
    </row>
    <row r="292" spans="1:12" s="141" customFormat="1" ht="19.5" customHeight="1">
      <c r="A292" s="86"/>
      <c r="B292" s="86"/>
      <c r="C292" s="82">
        <v>2023</v>
      </c>
      <c r="D292" s="86">
        <f t="shared" si="37"/>
        <v>0</v>
      </c>
      <c r="E292" s="131">
        <v>0</v>
      </c>
      <c r="F292" s="131"/>
      <c r="G292" s="131"/>
      <c r="H292" s="135">
        <v>0</v>
      </c>
      <c r="I292" s="86">
        <v>0</v>
      </c>
      <c r="J292" s="97"/>
      <c r="K292" s="93"/>
      <c r="L292" s="113"/>
    </row>
    <row r="293" spans="1:12" s="141" customFormat="1" ht="19.5" customHeight="1">
      <c r="A293" s="86"/>
      <c r="B293" s="86"/>
      <c r="C293" s="82">
        <v>2024</v>
      </c>
      <c r="D293" s="86">
        <f t="shared" si="37"/>
        <v>0</v>
      </c>
      <c r="E293" s="131">
        <v>0</v>
      </c>
      <c r="F293" s="131"/>
      <c r="G293" s="131"/>
      <c r="H293" s="135">
        <v>0</v>
      </c>
      <c r="I293" s="86">
        <v>0</v>
      </c>
      <c r="J293" s="97"/>
      <c r="K293" s="93"/>
      <c r="L293" s="113"/>
    </row>
    <row r="294" spans="1:12" s="141" customFormat="1" ht="19.5" customHeight="1">
      <c r="A294" s="86"/>
      <c r="B294" s="86"/>
      <c r="C294" s="82">
        <v>2025</v>
      </c>
      <c r="D294" s="86">
        <f t="shared" si="37"/>
        <v>0</v>
      </c>
      <c r="E294" s="131">
        <v>0</v>
      </c>
      <c r="F294" s="131"/>
      <c r="G294" s="131"/>
      <c r="H294" s="135">
        <v>0</v>
      </c>
      <c r="I294" s="86">
        <v>0</v>
      </c>
      <c r="J294" s="97"/>
      <c r="K294" s="93"/>
      <c r="L294" s="113"/>
    </row>
    <row r="295" spans="1:12" s="141" customFormat="1" ht="19.5" customHeight="1">
      <c r="A295" s="86" t="s">
        <v>144</v>
      </c>
      <c r="B295" s="86" t="s">
        <v>145</v>
      </c>
      <c r="C295" s="82">
        <v>2017</v>
      </c>
      <c r="D295" s="86">
        <f aca="true" t="shared" si="38" ref="D295:D316">I295</f>
        <v>0</v>
      </c>
      <c r="E295" s="131">
        <v>0</v>
      </c>
      <c r="F295" s="131"/>
      <c r="G295" s="131"/>
      <c r="H295" s="135">
        <v>0</v>
      </c>
      <c r="I295" s="86">
        <v>0</v>
      </c>
      <c r="J295" s="97"/>
      <c r="K295" s="93"/>
      <c r="L295" s="113"/>
    </row>
    <row r="296" spans="1:12" s="141" customFormat="1" ht="19.5" customHeight="1">
      <c r="A296" s="86"/>
      <c r="B296" s="86"/>
      <c r="C296" s="82">
        <v>2018</v>
      </c>
      <c r="D296" s="86">
        <f t="shared" si="38"/>
        <v>0</v>
      </c>
      <c r="E296" s="131">
        <v>0</v>
      </c>
      <c r="F296" s="131"/>
      <c r="G296" s="131"/>
      <c r="H296" s="135">
        <v>0</v>
      </c>
      <c r="I296" s="86">
        <v>0</v>
      </c>
      <c r="J296" s="97"/>
      <c r="K296" s="98" t="s">
        <v>128</v>
      </c>
      <c r="L296" s="113"/>
    </row>
    <row r="297" spans="1:12" s="141" customFormat="1" ht="19.5" customHeight="1">
      <c r="A297" s="86"/>
      <c r="B297" s="86"/>
      <c r="C297" s="82">
        <v>2019</v>
      </c>
      <c r="D297" s="86">
        <f t="shared" si="38"/>
        <v>0</v>
      </c>
      <c r="E297" s="131">
        <v>0</v>
      </c>
      <c r="F297" s="131"/>
      <c r="G297" s="131"/>
      <c r="H297" s="135">
        <v>0</v>
      </c>
      <c r="I297" s="86">
        <v>0</v>
      </c>
      <c r="J297" s="97"/>
      <c r="K297" s="98"/>
      <c r="L297" s="113"/>
    </row>
    <row r="298" spans="1:12" s="141" customFormat="1" ht="19.5" customHeight="1">
      <c r="A298" s="86"/>
      <c r="B298" s="86"/>
      <c r="C298" s="82">
        <v>2020</v>
      </c>
      <c r="D298" s="86">
        <f t="shared" si="38"/>
        <v>0</v>
      </c>
      <c r="E298" s="131">
        <v>0</v>
      </c>
      <c r="F298" s="131"/>
      <c r="G298" s="131"/>
      <c r="H298" s="135">
        <v>0</v>
      </c>
      <c r="I298" s="86">
        <v>0</v>
      </c>
      <c r="J298" s="97"/>
      <c r="K298" s="98"/>
      <c r="L298" s="113"/>
    </row>
    <row r="299" spans="1:12" s="141" customFormat="1" ht="19.5" customHeight="1">
      <c r="A299" s="86"/>
      <c r="B299" s="86"/>
      <c r="C299" s="82">
        <v>2021</v>
      </c>
      <c r="D299" s="86">
        <f t="shared" si="38"/>
        <v>0</v>
      </c>
      <c r="E299" s="131">
        <v>0</v>
      </c>
      <c r="F299" s="131"/>
      <c r="G299" s="131"/>
      <c r="H299" s="135">
        <v>0</v>
      </c>
      <c r="I299" s="86">
        <v>0</v>
      </c>
      <c r="J299" s="97"/>
      <c r="K299" s="98"/>
      <c r="L299" s="113"/>
    </row>
    <row r="300" spans="1:12" s="141" customFormat="1" ht="19.5" customHeight="1">
      <c r="A300" s="86"/>
      <c r="B300" s="86"/>
      <c r="C300" s="82">
        <v>2022</v>
      </c>
      <c r="D300" s="86">
        <f t="shared" si="38"/>
        <v>0</v>
      </c>
      <c r="E300" s="131">
        <v>0</v>
      </c>
      <c r="F300" s="131"/>
      <c r="G300" s="131"/>
      <c r="H300" s="135">
        <v>0</v>
      </c>
      <c r="I300" s="86">
        <v>0</v>
      </c>
      <c r="J300" s="97"/>
      <c r="K300" s="98"/>
      <c r="L300" s="113"/>
    </row>
    <row r="301" spans="1:12" s="141" customFormat="1" ht="19.5" customHeight="1">
      <c r="A301" s="86"/>
      <c r="B301" s="86"/>
      <c r="C301" s="101">
        <v>2023</v>
      </c>
      <c r="D301" s="102">
        <f t="shared" si="38"/>
        <v>2201.71881</v>
      </c>
      <c r="E301" s="138">
        <v>0</v>
      </c>
      <c r="F301" s="138"/>
      <c r="G301" s="138"/>
      <c r="H301" s="139">
        <v>0</v>
      </c>
      <c r="I301" s="102">
        <f>2489.90955-288.19074</f>
        <v>2201.71881</v>
      </c>
      <c r="J301" s="144"/>
      <c r="K301" s="145" t="s">
        <v>128</v>
      </c>
      <c r="L301" s="113"/>
    </row>
    <row r="302" spans="1:12" s="141" customFormat="1" ht="19.5" customHeight="1">
      <c r="A302" s="86"/>
      <c r="B302" s="86"/>
      <c r="C302" s="82">
        <v>2024</v>
      </c>
      <c r="D302" s="86">
        <f t="shared" si="38"/>
        <v>0</v>
      </c>
      <c r="E302" s="131">
        <v>0</v>
      </c>
      <c r="F302" s="131"/>
      <c r="G302" s="131"/>
      <c r="H302" s="135">
        <v>0</v>
      </c>
      <c r="I302" s="86">
        <v>0</v>
      </c>
      <c r="J302" s="97"/>
      <c r="K302" s="98"/>
      <c r="L302" s="113"/>
    </row>
    <row r="303" spans="1:12" s="141" customFormat="1" ht="19.5" customHeight="1">
      <c r="A303" s="86"/>
      <c r="B303" s="86"/>
      <c r="C303" s="82">
        <v>2025</v>
      </c>
      <c r="D303" s="86">
        <f t="shared" si="38"/>
        <v>0</v>
      </c>
      <c r="E303" s="131">
        <v>0</v>
      </c>
      <c r="F303" s="131"/>
      <c r="G303" s="131"/>
      <c r="H303" s="135">
        <v>0</v>
      </c>
      <c r="I303" s="86">
        <v>0</v>
      </c>
      <c r="J303" s="97"/>
      <c r="K303" s="98"/>
      <c r="L303" s="113"/>
    </row>
    <row r="304" spans="1:12" s="141" customFormat="1" ht="19.5" customHeight="1">
      <c r="A304" s="86" t="s">
        <v>146</v>
      </c>
      <c r="B304" s="95" t="s">
        <v>147</v>
      </c>
      <c r="C304" s="82">
        <v>2017</v>
      </c>
      <c r="D304" s="86">
        <f t="shared" si="38"/>
        <v>0</v>
      </c>
      <c r="E304" s="131">
        <v>0</v>
      </c>
      <c r="F304" s="131"/>
      <c r="G304" s="131"/>
      <c r="H304" s="135">
        <v>0</v>
      </c>
      <c r="I304" s="86">
        <v>0</v>
      </c>
      <c r="J304" s="97"/>
      <c r="K304" s="98"/>
      <c r="L304" s="113"/>
    </row>
    <row r="305" spans="1:12" s="141" customFormat="1" ht="19.5" customHeight="1">
      <c r="A305" s="86"/>
      <c r="B305" s="95"/>
      <c r="C305" s="82">
        <v>2018</v>
      </c>
      <c r="D305" s="86">
        <f t="shared" si="38"/>
        <v>210.241</v>
      </c>
      <c r="E305" s="131">
        <v>0</v>
      </c>
      <c r="F305" s="131"/>
      <c r="G305" s="131"/>
      <c r="H305" s="135">
        <v>0</v>
      </c>
      <c r="I305" s="86">
        <v>210.241</v>
      </c>
      <c r="J305" s="97"/>
      <c r="K305" s="98" t="s">
        <v>78</v>
      </c>
      <c r="L305" s="113"/>
    </row>
    <row r="306" spans="1:12" s="141" customFormat="1" ht="19.5" customHeight="1">
      <c r="A306" s="86"/>
      <c r="B306" s="95"/>
      <c r="C306" s="82">
        <v>2018</v>
      </c>
      <c r="D306" s="86">
        <f t="shared" si="38"/>
        <v>312.53700000000003</v>
      </c>
      <c r="E306" s="131">
        <v>0</v>
      </c>
      <c r="F306" s="131"/>
      <c r="G306" s="131"/>
      <c r="H306" s="135">
        <v>0</v>
      </c>
      <c r="I306" s="86">
        <f>240+72.537</f>
        <v>312.53700000000003</v>
      </c>
      <c r="J306" s="97"/>
      <c r="K306" s="98" t="s">
        <v>148</v>
      </c>
      <c r="L306" s="113"/>
    </row>
    <row r="307" spans="1:12" s="141" customFormat="1" ht="19.5" customHeight="1">
      <c r="A307" s="86"/>
      <c r="B307" s="95"/>
      <c r="C307" s="82">
        <v>2018</v>
      </c>
      <c r="D307" s="86">
        <f t="shared" si="38"/>
        <v>150</v>
      </c>
      <c r="E307" s="131">
        <v>0</v>
      </c>
      <c r="F307" s="131"/>
      <c r="G307" s="131"/>
      <c r="H307" s="135">
        <v>0</v>
      </c>
      <c r="I307" s="86">
        <v>150</v>
      </c>
      <c r="J307" s="137"/>
      <c r="K307" s="98" t="s">
        <v>125</v>
      </c>
      <c r="L307" s="113"/>
    </row>
    <row r="308" spans="1:12" s="141" customFormat="1" ht="19.5" customHeight="1">
      <c r="A308" s="86"/>
      <c r="B308" s="95"/>
      <c r="C308" s="82">
        <v>2018</v>
      </c>
      <c r="D308" s="86">
        <f t="shared" si="38"/>
        <v>320</v>
      </c>
      <c r="E308" s="131">
        <v>0</v>
      </c>
      <c r="F308" s="131"/>
      <c r="G308" s="131"/>
      <c r="H308" s="135">
        <v>0</v>
      </c>
      <c r="I308" s="86">
        <v>320</v>
      </c>
      <c r="J308" s="97"/>
      <c r="K308" s="98" t="s">
        <v>122</v>
      </c>
      <c r="L308" s="113"/>
    </row>
    <row r="309" spans="1:12" s="141" customFormat="1" ht="19.5" customHeight="1">
      <c r="A309" s="86"/>
      <c r="B309" s="95"/>
      <c r="C309" s="82">
        <v>2018</v>
      </c>
      <c r="D309" s="86">
        <f t="shared" si="38"/>
        <v>0</v>
      </c>
      <c r="E309" s="131">
        <v>0</v>
      </c>
      <c r="F309" s="131"/>
      <c r="G309" s="131"/>
      <c r="H309" s="135">
        <v>0</v>
      </c>
      <c r="I309" s="86">
        <v>0</v>
      </c>
      <c r="J309" s="97"/>
      <c r="K309" s="98" t="s">
        <v>149</v>
      </c>
      <c r="L309" s="113"/>
    </row>
    <row r="310" spans="1:12" s="141" customFormat="1" ht="19.5" customHeight="1">
      <c r="A310" s="86"/>
      <c r="B310" s="95"/>
      <c r="C310" s="82">
        <v>2019</v>
      </c>
      <c r="D310" s="86">
        <f t="shared" si="38"/>
        <v>0</v>
      </c>
      <c r="E310" s="131">
        <v>0</v>
      </c>
      <c r="F310" s="131"/>
      <c r="G310" s="131"/>
      <c r="H310" s="135">
        <v>0</v>
      </c>
      <c r="I310" s="86">
        <v>0</v>
      </c>
      <c r="J310" s="97"/>
      <c r="K310" s="98"/>
      <c r="L310" s="113"/>
    </row>
    <row r="311" spans="1:12" s="141" customFormat="1" ht="19.5" customHeight="1">
      <c r="A311" s="86"/>
      <c r="B311" s="95"/>
      <c r="C311" s="82">
        <v>2020</v>
      </c>
      <c r="D311" s="86">
        <f t="shared" si="38"/>
        <v>0</v>
      </c>
      <c r="E311" s="131">
        <v>0</v>
      </c>
      <c r="F311" s="131"/>
      <c r="G311" s="131"/>
      <c r="H311" s="135">
        <v>0</v>
      </c>
      <c r="I311" s="86">
        <v>0</v>
      </c>
      <c r="J311" s="97"/>
      <c r="K311" s="98"/>
      <c r="L311" s="113"/>
    </row>
    <row r="312" spans="1:12" s="141" customFormat="1" ht="19.5" customHeight="1">
      <c r="A312" s="86"/>
      <c r="B312" s="95"/>
      <c r="C312" s="82">
        <v>2021</v>
      </c>
      <c r="D312" s="86">
        <f t="shared" si="38"/>
        <v>0</v>
      </c>
      <c r="E312" s="131">
        <v>0</v>
      </c>
      <c r="F312" s="131"/>
      <c r="G312" s="131"/>
      <c r="H312" s="135">
        <v>0</v>
      </c>
      <c r="I312" s="86">
        <v>0</v>
      </c>
      <c r="J312" s="97"/>
      <c r="K312" s="98"/>
      <c r="L312" s="113"/>
    </row>
    <row r="313" spans="1:12" s="141" customFormat="1" ht="19.5" customHeight="1">
      <c r="A313" s="86"/>
      <c r="B313" s="95"/>
      <c r="C313" s="82">
        <v>2022</v>
      </c>
      <c r="D313" s="86">
        <f t="shared" si="38"/>
        <v>0</v>
      </c>
      <c r="E313" s="131">
        <v>0</v>
      </c>
      <c r="F313" s="131"/>
      <c r="G313" s="131"/>
      <c r="H313" s="135">
        <v>0</v>
      </c>
      <c r="I313" s="86">
        <v>0</v>
      </c>
      <c r="J313" s="97"/>
      <c r="K313" s="98"/>
      <c r="L313" s="113"/>
    </row>
    <row r="314" spans="1:12" s="141" customFormat="1" ht="19.5" customHeight="1">
      <c r="A314" s="86"/>
      <c r="B314" s="95"/>
      <c r="C314" s="82">
        <v>2023</v>
      </c>
      <c r="D314" s="86">
        <f t="shared" si="38"/>
        <v>0</v>
      </c>
      <c r="E314" s="131">
        <v>0</v>
      </c>
      <c r="F314" s="131"/>
      <c r="G314" s="131"/>
      <c r="H314" s="135">
        <v>0</v>
      </c>
      <c r="I314" s="86">
        <v>0</v>
      </c>
      <c r="J314" s="97"/>
      <c r="K314" s="98"/>
      <c r="L314" s="113"/>
    </row>
    <row r="315" spans="1:12" s="141" customFormat="1" ht="19.5" customHeight="1">
      <c r="A315" s="86"/>
      <c r="B315" s="95"/>
      <c r="C315" s="82">
        <v>2024</v>
      </c>
      <c r="D315" s="86">
        <f t="shared" si="38"/>
        <v>0</v>
      </c>
      <c r="E315" s="131">
        <v>0</v>
      </c>
      <c r="F315" s="131"/>
      <c r="G315" s="131"/>
      <c r="H315" s="135">
        <v>0</v>
      </c>
      <c r="I315" s="86">
        <v>0</v>
      </c>
      <c r="J315" s="97"/>
      <c r="K315" s="98"/>
      <c r="L315" s="113"/>
    </row>
    <row r="316" spans="1:12" s="141" customFormat="1" ht="19.5" customHeight="1">
      <c r="A316" s="86"/>
      <c r="B316" s="95"/>
      <c r="C316" s="82">
        <v>2025</v>
      </c>
      <c r="D316" s="86">
        <f t="shared" si="38"/>
        <v>0</v>
      </c>
      <c r="E316" s="131">
        <v>0</v>
      </c>
      <c r="F316" s="131"/>
      <c r="G316" s="131"/>
      <c r="H316" s="135">
        <v>0</v>
      </c>
      <c r="I316" s="86">
        <v>0</v>
      </c>
      <c r="J316" s="97"/>
      <c r="K316" s="98"/>
      <c r="L316" s="113"/>
    </row>
    <row r="317" spans="1:12" s="141" customFormat="1" ht="19.5" customHeight="1">
      <c r="A317" s="86" t="s">
        <v>150</v>
      </c>
      <c r="B317" s="95" t="s">
        <v>151</v>
      </c>
      <c r="C317" s="82">
        <v>2017</v>
      </c>
      <c r="D317" s="86">
        <f>H317</f>
        <v>0</v>
      </c>
      <c r="E317" s="131">
        <v>0</v>
      </c>
      <c r="F317" s="131"/>
      <c r="G317" s="131"/>
      <c r="H317" s="135">
        <v>0</v>
      </c>
      <c r="I317" s="86">
        <v>0</v>
      </c>
      <c r="J317" s="97"/>
      <c r="K317" s="98"/>
      <c r="L317" s="113"/>
    </row>
    <row r="318" spans="1:12" s="141" customFormat="1" ht="19.5" customHeight="1">
      <c r="A318" s="86"/>
      <c r="B318" s="95"/>
      <c r="C318" s="82">
        <v>2018</v>
      </c>
      <c r="D318" s="86">
        <f aca="true" t="shared" si="39" ref="D318:D325">H318+I318</f>
        <v>291.78</v>
      </c>
      <c r="E318" s="131">
        <v>0</v>
      </c>
      <c r="F318" s="131"/>
      <c r="G318" s="131"/>
      <c r="H318" s="135">
        <v>0</v>
      </c>
      <c r="I318" s="86">
        <v>291.78</v>
      </c>
      <c r="J318" s="97"/>
      <c r="K318" s="98" t="s">
        <v>122</v>
      </c>
      <c r="L318" s="113"/>
    </row>
    <row r="319" spans="1:12" s="141" customFormat="1" ht="19.5" customHeight="1">
      <c r="A319" s="86"/>
      <c r="B319" s="95"/>
      <c r="C319" s="82">
        <v>2019</v>
      </c>
      <c r="D319" s="86">
        <f t="shared" si="39"/>
        <v>0</v>
      </c>
      <c r="E319" s="131">
        <v>0</v>
      </c>
      <c r="F319" s="131"/>
      <c r="G319" s="131"/>
      <c r="H319" s="135">
        <v>0</v>
      </c>
      <c r="I319" s="86">
        <v>0</v>
      </c>
      <c r="J319" s="97"/>
      <c r="K319" s="98"/>
      <c r="L319" s="113"/>
    </row>
    <row r="320" spans="1:12" s="141" customFormat="1" ht="19.5" customHeight="1">
      <c r="A320" s="86"/>
      <c r="B320" s="95"/>
      <c r="C320" s="82">
        <v>2020</v>
      </c>
      <c r="D320" s="86">
        <f t="shared" si="39"/>
        <v>0</v>
      </c>
      <c r="E320" s="131">
        <v>0</v>
      </c>
      <c r="F320" s="131"/>
      <c r="G320" s="131"/>
      <c r="H320" s="135">
        <v>0</v>
      </c>
      <c r="I320" s="86">
        <v>0</v>
      </c>
      <c r="J320" s="97"/>
      <c r="K320" s="98"/>
      <c r="L320" s="113"/>
    </row>
    <row r="321" spans="1:12" s="141" customFormat="1" ht="19.5" customHeight="1">
      <c r="A321" s="86"/>
      <c r="B321" s="95"/>
      <c r="C321" s="82">
        <v>2021</v>
      </c>
      <c r="D321" s="86">
        <f t="shared" si="39"/>
        <v>0</v>
      </c>
      <c r="E321" s="131">
        <v>0</v>
      </c>
      <c r="F321" s="131"/>
      <c r="G321" s="131"/>
      <c r="H321" s="135">
        <v>0</v>
      </c>
      <c r="I321" s="86">
        <v>0</v>
      </c>
      <c r="J321" s="97"/>
      <c r="K321" s="98"/>
      <c r="L321" s="113"/>
    </row>
    <row r="322" spans="1:12" s="141" customFormat="1" ht="19.5" customHeight="1">
      <c r="A322" s="86"/>
      <c r="B322" s="95"/>
      <c r="C322" s="82">
        <v>2022</v>
      </c>
      <c r="D322" s="86">
        <f t="shared" si="39"/>
        <v>0</v>
      </c>
      <c r="E322" s="131">
        <v>0</v>
      </c>
      <c r="F322" s="131"/>
      <c r="G322" s="131"/>
      <c r="H322" s="135">
        <v>0</v>
      </c>
      <c r="I322" s="86">
        <v>0</v>
      </c>
      <c r="J322" s="97"/>
      <c r="K322" s="98"/>
      <c r="L322" s="113"/>
    </row>
    <row r="323" spans="1:12" s="141" customFormat="1" ht="19.5" customHeight="1">
      <c r="A323" s="86"/>
      <c r="B323" s="95"/>
      <c r="C323" s="82">
        <v>2023</v>
      </c>
      <c r="D323" s="86">
        <f t="shared" si="39"/>
        <v>0</v>
      </c>
      <c r="E323" s="131">
        <v>0</v>
      </c>
      <c r="F323" s="131"/>
      <c r="G323" s="131"/>
      <c r="H323" s="135">
        <v>0</v>
      </c>
      <c r="I323" s="86">
        <v>0</v>
      </c>
      <c r="J323" s="97"/>
      <c r="K323" s="98"/>
      <c r="L323" s="113"/>
    </row>
    <row r="324" spans="1:12" s="141" customFormat="1" ht="19.5" customHeight="1">
      <c r="A324" s="86"/>
      <c r="B324" s="95"/>
      <c r="C324" s="82">
        <v>2024</v>
      </c>
      <c r="D324" s="86">
        <f t="shared" si="39"/>
        <v>0</v>
      </c>
      <c r="E324" s="131">
        <v>0</v>
      </c>
      <c r="F324" s="131"/>
      <c r="G324" s="131"/>
      <c r="H324" s="135">
        <v>0</v>
      </c>
      <c r="I324" s="86">
        <v>0</v>
      </c>
      <c r="J324" s="97"/>
      <c r="K324" s="98"/>
      <c r="L324" s="113"/>
    </row>
    <row r="325" spans="1:12" s="141" customFormat="1" ht="19.5" customHeight="1">
      <c r="A325" s="86"/>
      <c r="B325" s="95"/>
      <c r="C325" s="82">
        <v>2025</v>
      </c>
      <c r="D325" s="86">
        <f t="shared" si="39"/>
        <v>0</v>
      </c>
      <c r="E325" s="131">
        <v>0</v>
      </c>
      <c r="F325" s="131"/>
      <c r="G325" s="131"/>
      <c r="H325" s="135">
        <v>0</v>
      </c>
      <c r="I325" s="86">
        <v>0</v>
      </c>
      <c r="J325" s="97"/>
      <c r="K325" s="98"/>
      <c r="L325" s="113"/>
    </row>
    <row r="326" spans="1:12" s="141" customFormat="1" ht="19.5" customHeight="1">
      <c r="A326" s="86" t="s">
        <v>152</v>
      </c>
      <c r="B326" s="95" t="s">
        <v>153</v>
      </c>
      <c r="C326" s="82">
        <v>2017</v>
      </c>
      <c r="D326" s="86">
        <f>H326</f>
        <v>0</v>
      </c>
      <c r="E326" s="131">
        <v>0</v>
      </c>
      <c r="F326" s="131"/>
      <c r="G326" s="131"/>
      <c r="H326" s="135">
        <v>0</v>
      </c>
      <c r="I326" s="86">
        <v>0</v>
      </c>
      <c r="J326" s="97"/>
      <c r="K326" s="98"/>
      <c r="L326" s="113"/>
    </row>
    <row r="327" spans="1:12" s="141" customFormat="1" ht="19.5" customHeight="1">
      <c r="A327" s="86"/>
      <c r="B327" s="95"/>
      <c r="C327" s="82">
        <v>2018</v>
      </c>
      <c r="D327" s="86">
        <f>I327</f>
        <v>195.434</v>
      </c>
      <c r="E327" s="131">
        <v>0</v>
      </c>
      <c r="F327" s="131"/>
      <c r="G327" s="131"/>
      <c r="H327" s="135">
        <v>0</v>
      </c>
      <c r="I327" s="86">
        <v>195.434</v>
      </c>
      <c r="J327" s="97"/>
      <c r="K327" s="146" t="s">
        <v>122</v>
      </c>
      <c r="L327" s="113"/>
    </row>
    <row r="328" spans="1:12" s="141" customFormat="1" ht="19.5" customHeight="1">
      <c r="A328" s="86"/>
      <c r="B328" s="95"/>
      <c r="C328" s="82">
        <v>2018</v>
      </c>
      <c r="D328" s="86">
        <f aca="true" t="shared" si="40" ref="D328:D335">H328+I328</f>
        <v>537.09719</v>
      </c>
      <c r="E328" s="131">
        <v>0</v>
      </c>
      <c r="F328" s="131"/>
      <c r="G328" s="131"/>
      <c r="H328" s="135">
        <v>0</v>
      </c>
      <c r="I328" s="86">
        <f>537.09719</f>
        <v>537.09719</v>
      </c>
      <c r="J328" s="97"/>
      <c r="K328" s="147" t="s">
        <v>128</v>
      </c>
      <c r="L328" s="113"/>
    </row>
    <row r="329" spans="1:12" s="141" customFormat="1" ht="19.5" customHeight="1">
      <c r="A329" s="86"/>
      <c r="B329" s="95"/>
      <c r="C329" s="82">
        <v>2019</v>
      </c>
      <c r="D329" s="86">
        <f t="shared" si="40"/>
        <v>0</v>
      </c>
      <c r="E329" s="131">
        <v>0</v>
      </c>
      <c r="F329" s="131"/>
      <c r="G329" s="131"/>
      <c r="H329" s="135">
        <v>0</v>
      </c>
      <c r="I329" s="86">
        <v>0</v>
      </c>
      <c r="J329" s="97"/>
      <c r="K329" s="98"/>
      <c r="L329" s="113"/>
    </row>
    <row r="330" spans="1:12" s="141" customFormat="1" ht="19.5" customHeight="1">
      <c r="A330" s="86"/>
      <c r="B330" s="95"/>
      <c r="C330" s="82">
        <v>2020</v>
      </c>
      <c r="D330" s="86">
        <f t="shared" si="40"/>
        <v>0</v>
      </c>
      <c r="E330" s="131">
        <v>0</v>
      </c>
      <c r="F330" s="131"/>
      <c r="G330" s="131"/>
      <c r="H330" s="135">
        <v>0</v>
      </c>
      <c r="I330" s="86">
        <v>0</v>
      </c>
      <c r="J330" s="97"/>
      <c r="K330" s="98"/>
      <c r="L330" s="113"/>
    </row>
    <row r="331" spans="1:12" s="141" customFormat="1" ht="19.5" customHeight="1">
      <c r="A331" s="86"/>
      <c r="B331" s="95"/>
      <c r="C331" s="82">
        <v>2021</v>
      </c>
      <c r="D331" s="86">
        <f t="shared" si="40"/>
        <v>0</v>
      </c>
      <c r="E331" s="131">
        <v>0</v>
      </c>
      <c r="F331" s="131"/>
      <c r="G331" s="131"/>
      <c r="H331" s="135">
        <v>0</v>
      </c>
      <c r="I331" s="86">
        <v>0</v>
      </c>
      <c r="J331" s="97"/>
      <c r="K331" s="98"/>
      <c r="L331" s="113"/>
    </row>
    <row r="332" spans="1:12" s="141" customFormat="1" ht="19.5" customHeight="1">
      <c r="A332" s="86"/>
      <c r="B332" s="95"/>
      <c r="C332" s="82">
        <v>2022</v>
      </c>
      <c r="D332" s="86">
        <f t="shared" si="40"/>
        <v>0</v>
      </c>
      <c r="E332" s="131">
        <v>0</v>
      </c>
      <c r="F332" s="131"/>
      <c r="G332" s="131"/>
      <c r="H332" s="135">
        <v>0</v>
      </c>
      <c r="I332" s="86">
        <v>0</v>
      </c>
      <c r="J332" s="97"/>
      <c r="K332" s="98"/>
      <c r="L332" s="113"/>
    </row>
    <row r="333" spans="1:12" s="141" customFormat="1" ht="19.5" customHeight="1">
      <c r="A333" s="86"/>
      <c r="B333" s="95"/>
      <c r="C333" s="101">
        <v>2023</v>
      </c>
      <c r="D333" s="102">
        <f t="shared" si="40"/>
        <v>591.1859999999999</v>
      </c>
      <c r="E333" s="138">
        <v>0</v>
      </c>
      <c r="F333" s="138"/>
      <c r="G333" s="138"/>
      <c r="H333" s="139">
        <v>0</v>
      </c>
      <c r="I333" s="102">
        <f>607.022-607.022+633.71142-42.52542</f>
        <v>591.1859999999999</v>
      </c>
      <c r="J333" s="97"/>
      <c r="K333" s="148" t="s">
        <v>128</v>
      </c>
      <c r="L333" s="113"/>
    </row>
    <row r="334" spans="1:12" s="141" customFormat="1" ht="19.5" customHeight="1">
      <c r="A334" s="86"/>
      <c r="B334" s="95"/>
      <c r="C334" s="82">
        <v>2024</v>
      </c>
      <c r="D334" s="86">
        <f t="shared" si="40"/>
        <v>0</v>
      </c>
      <c r="E334" s="131">
        <v>0</v>
      </c>
      <c r="F334" s="131"/>
      <c r="G334" s="131"/>
      <c r="H334" s="135">
        <v>0</v>
      </c>
      <c r="I334" s="86">
        <v>0</v>
      </c>
      <c r="J334" s="97"/>
      <c r="K334" s="98"/>
      <c r="L334" s="113"/>
    </row>
    <row r="335" spans="1:12" s="141" customFormat="1" ht="19.5" customHeight="1">
      <c r="A335" s="86"/>
      <c r="B335" s="95"/>
      <c r="C335" s="82">
        <v>2025</v>
      </c>
      <c r="D335" s="86">
        <f t="shared" si="40"/>
        <v>0</v>
      </c>
      <c r="E335" s="131">
        <v>0</v>
      </c>
      <c r="F335" s="131"/>
      <c r="G335" s="131"/>
      <c r="H335" s="135">
        <v>0</v>
      </c>
      <c r="I335" s="86">
        <v>0</v>
      </c>
      <c r="J335" s="97"/>
      <c r="K335" s="98"/>
      <c r="L335" s="113"/>
    </row>
    <row r="336" spans="1:12" s="141" customFormat="1" ht="19.5" customHeight="1">
      <c r="A336" s="86" t="s">
        <v>154</v>
      </c>
      <c r="B336" s="86" t="s">
        <v>155</v>
      </c>
      <c r="C336" s="82">
        <v>2017</v>
      </c>
      <c r="D336" s="86">
        <v>0</v>
      </c>
      <c r="E336" s="131">
        <v>0</v>
      </c>
      <c r="F336" s="131"/>
      <c r="G336" s="131"/>
      <c r="H336" s="135">
        <v>0</v>
      </c>
      <c r="I336" s="86">
        <v>0</v>
      </c>
      <c r="J336" s="97"/>
      <c r="K336" s="98"/>
      <c r="L336" s="113"/>
    </row>
    <row r="337" spans="1:12" s="141" customFormat="1" ht="19.5" customHeight="1">
      <c r="A337" s="86"/>
      <c r="B337" s="86"/>
      <c r="C337" s="82">
        <v>2018</v>
      </c>
      <c r="D337" s="86">
        <f>I337</f>
        <v>515.42</v>
      </c>
      <c r="E337" s="131">
        <v>0</v>
      </c>
      <c r="F337" s="131"/>
      <c r="G337" s="131"/>
      <c r="H337" s="135">
        <v>0</v>
      </c>
      <c r="I337" s="86">
        <f>515.5-0.08</f>
        <v>515.42</v>
      </c>
      <c r="J337" s="97"/>
      <c r="K337" s="98" t="s">
        <v>156</v>
      </c>
      <c r="L337" s="113"/>
    </row>
    <row r="338" spans="1:12" s="141" customFormat="1" ht="19.5" customHeight="1">
      <c r="A338" s="86"/>
      <c r="B338" s="86"/>
      <c r="C338" s="82">
        <v>2019</v>
      </c>
      <c r="D338" s="86">
        <v>0</v>
      </c>
      <c r="E338" s="131">
        <v>0</v>
      </c>
      <c r="F338" s="131"/>
      <c r="G338" s="131"/>
      <c r="H338" s="135">
        <v>0</v>
      </c>
      <c r="I338" s="86">
        <v>0</v>
      </c>
      <c r="J338" s="97"/>
      <c r="K338" s="98"/>
      <c r="L338" s="113"/>
    </row>
    <row r="339" spans="1:12" s="141" customFormat="1" ht="19.5" customHeight="1">
      <c r="A339" s="86"/>
      <c r="B339" s="86"/>
      <c r="C339" s="82">
        <v>2020</v>
      </c>
      <c r="D339" s="86">
        <v>0</v>
      </c>
      <c r="E339" s="131">
        <v>0</v>
      </c>
      <c r="F339" s="131"/>
      <c r="G339" s="131"/>
      <c r="H339" s="135">
        <v>0</v>
      </c>
      <c r="I339" s="86">
        <v>0</v>
      </c>
      <c r="J339" s="97"/>
      <c r="K339" s="98"/>
      <c r="L339" s="113"/>
    </row>
    <row r="340" spans="1:12" s="141" customFormat="1" ht="19.5" customHeight="1">
      <c r="A340" s="86"/>
      <c r="B340" s="86"/>
      <c r="C340" s="82">
        <v>2021</v>
      </c>
      <c r="D340" s="86">
        <v>0</v>
      </c>
      <c r="E340" s="131">
        <v>0</v>
      </c>
      <c r="F340" s="131"/>
      <c r="G340" s="131"/>
      <c r="H340" s="135">
        <v>0</v>
      </c>
      <c r="I340" s="86">
        <v>0</v>
      </c>
      <c r="J340" s="97"/>
      <c r="K340" s="98"/>
      <c r="L340" s="113"/>
    </row>
    <row r="341" spans="1:12" s="141" customFormat="1" ht="19.5" customHeight="1">
      <c r="A341" s="86"/>
      <c r="B341" s="86"/>
      <c r="C341" s="82">
        <v>2022</v>
      </c>
      <c r="D341" s="86">
        <v>0</v>
      </c>
      <c r="E341" s="131">
        <v>0</v>
      </c>
      <c r="F341" s="131"/>
      <c r="G341" s="131"/>
      <c r="H341" s="135">
        <v>0</v>
      </c>
      <c r="I341" s="86">
        <v>0</v>
      </c>
      <c r="J341" s="97"/>
      <c r="K341" s="98"/>
      <c r="L341" s="113"/>
    </row>
    <row r="342" spans="1:12" s="141" customFormat="1" ht="19.5" customHeight="1">
      <c r="A342" s="86"/>
      <c r="B342" s="86"/>
      <c r="C342" s="82">
        <v>2023</v>
      </c>
      <c r="D342" s="86">
        <v>0</v>
      </c>
      <c r="E342" s="131">
        <v>0</v>
      </c>
      <c r="F342" s="131"/>
      <c r="G342" s="131"/>
      <c r="H342" s="135">
        <v>0</v>
      </c>
      <c r="I342" s="86">
        <v>0</v>
      </c>
      <c r="J342" s="97"/>
      <c r="K342" s="98"/>
      <c r="L342" s="113"/>
    </row>
    <row r="343" spans="1:12" s="141" customFormat="1" ht="19.5" customHeight="1">
      <c r="A343" s="86"/>
      <c r="B343" s="86"/>
      <c r="C343" s="82">
        <v>2024</v>
      </c>
      <c r="D343" s="86">
        <v>0</v>
      </c>
      <c r="E343" s="131">
        <v>0</v>
      </c>
      <c r="F343" s="131"/>
      <c r="G343" s="131"/>
      <c r="H343" s="135">
        <v>0</v>
      </c>
      <c r="I343" s="86">
        <v>0</v>
      </c>
      <c r="J343" s="97"/>
      <c r="K343" s="98"/>
      <c r="L343" s="113"/>
    </row>
    <row r="344" spans="1:12" s="141" customFormat="1" ht="19.5" customHeight="1">
      <c r="A344" s="86"/>
      <c r="B344" s="86"/>
      <c r="C344" s="82">
        <v>2025</v>
      </c>
      <c r="D344" s="86">
        <v>0</v>
      </c>
      <c r="E344" s="131">
        <v>0</v>
      </c>
      <c r="F344" s="131"/>
      <c r="G344" s="131"/>
      <c r="H344" s="135">
        <v>0</v>
      </c>
      <c r="I344" s="86">
        <v>0</v>
      </c>
      <c r="J344" s="97"/>
      <c r="K344" s="98"/>
      <c r="L344" s="113"/>
    </row>
    <row r="345" spans="1:12" s="141" customFormat="1" ht="19.5" customHeight="1">
      <c r="A345" s="86" t="s">
        <v>157</v>
      </c>
      <c r="B345" s="86" t="s">
        <v>158</v>
      </c>
      <c r="C345" s="82">
        <v>2017</v>
      </c>
      <c r="D345" s="86">
        <v>0</v>
      </c>
      <c r="E345" s="131">
        <v>0</v>
      </c>
      <c r="F345" s="131"/>
      <c r="G345" s="131"/>
      <c r="H345" s="135">
        <v>0</v>
      </c>
      <c r="I345" s="86">
        <v>0</v>
      </c>
      <c r="J345" s="97"/>
      <c r="K345" s="98"/>
      <c r="L345" s="113"/>
    </row>
    <row r="346" spans="1:12" s="141" customFormat="1" ht="19.5" customHeight="1">
      <c r="A346" s="86"/>
      <c r="B346" s="86"/>
      <c r="C346" s="82">
        <v>2018</v>
      </c>
      <c r="D346" s="86">
        <f>I346</f>
        <v>135.299</v>
      </c>
      <c r="E346" s="131">
        <v>0</v>
      </c>
      <c r="F346" s="131"/>
      <c r="G346" s="131"/>
      <c r="H346" s="135">
        <v>0</v>
      </c>
      <c r="I346" s="86">
        <v>135.299</v>
      </c>
      <c r="J346" s="97"/>
      <c r="K346" s="98" t="s">
        <v>122</v>
      </c>
      <c r="L346" s="113"/>
    </row>
    <row r="347" spans="1:12" s="141" customFormat="1" ht="19.5" customHeight="1">
      <c r="A347" s="86"/>
      <c r="B347" s="86"/>
      <c r="C347" s="82">
        <v>2019</v>
      </c>
      <c r="D347" s="86">
        <v>0</v>
      </c>
      <c r="E347" s="131">
        <v>0</v>
      </c>
      <c r="F347" s="131"/>
      <c r="G347" s="131"/>
      <c r="H347" s="135">
        <v>0</v>
      </c>
      <c r="I347" s="86">
        <v>0</v>
      </c>
      <c r="J347" s="97"/>
      <c r="K347" s="98"/>
      <c r="L347" s="113"/>
    </row>
    <row r="348" spans="1:12" s="141" customFormat="1" ht="19.5" customHeight="1">
      <c r="A348" s="86"/>
      <c r="B348" s="86"/>
      <c r="C348" s="82">
        <v>2020</v>
      </c>
      <c r="D348" s="86">
        <v>0</v>
      </c>
      <c r="E348" s="131">
        <v>0</v>
      </c>
      <c r="F348" s="131"/>
      <c r="G348" s="131"/>
      <c r="H348" s="135">
        <v>0</v>
      </c>
      <c r="I348" s="86">
        <v>0</v>
      </c>
      <c r="J348" s="97"/>
      <c r="K348" s="98"/>
      <c r="L348" s="113"/>
    </row>
    <row r="349" spans="1:12" s="141" customFormat="1" ht="19.5" customHeight="1">
      <c r="A349" s="86"/>
      <c r="B349" s="86"/>
      <c r="C349" s="82">
        <v>2021</v>
      </c>
      <c r="D349" s="86">
        <v>0</v>
      </c>
      <c r="E349" s="131">
        <v>0</v>
      </c>
      <c r="F349" s="131"/>
      <c r="G349" s="131"/>
      <c r="H349" s="135">
        <v>0</v>
      </c>
      <c r="I349" s="86">
        <v>0</v>
      </c>
      <c r="J349" s="97"/>
      <c r="K349" s="98"/>
      <c r="L349" s="113"/>
    </row>
    <row r="350" spans="1:12" s="141" customFormat="1" ht="19.5" customHeight="1">
      <c r="A350" s="86"/>
      <c r="B350" s="86"/>
      <c r="C350" s="82">
        <v>2022</v>
      </c>
      <c r="D350" s="86">
        <v>0</v>
      </c>
      <c r="E350" s="131">
        <v>0</v>
      </c>
      <c r="F350" s="131"/>
      <c r="G350" s="131"/>
      <c r="H350" s="135">
        <v>0</v>
      </c>
      <c r="I350" s="86">
        <v>0</v>
      </c>
      <c r="J350" s="97"/>
      <c r="K350" s="98"/>
      <c r="L350" s="113"/>
    </row>
    <row r="351" spans="1:12" s="141" customFormat="1" ht="19.5" customHeight="1">
      <c r="A351" s="86"/>
      <c r="B351" s="86"/>
      <c r="C351" s="82">
        <v>2023</v>
      </c>
      <c r="D351" s="86">
        <v>0</v>
      </c>
      <c r="E351" s="131">
        <v>0</v>
      </c>
      <c r="F351" s="131"/>
      <c r="G351" s="131"/>
      <c r="H351" s="135">
        <v>0</v>
      </c>
      <c r="I351" s="86">
        <v>0</v>
      </c>
      <c r="J351" s="97"/>
      <c r="K351" s="98"/>
      <c r="L351" s="113"/>
    </row>
    <row r="352" spans="1:12" s="141" customFormat="1" ht="19.5" customHeight="1">
      <c r="A352" s="86"/>
      <c r="B352" s="86"/>
      <c r="C352" s="82">
        <v>2024</v>
      </c>
      <c r="D352" s="86">
        <v>0</v>
      </c>
      <c r="E352" s="131">
        <v>0</v>
      </c>
      <c r="F352" s="131"/>
      <c r="G352" s="131"/>
      <c r="H352" s="135">
        <v>0</v>
      </c>
      <c r="I352" s="86">
        <v>0</v>
      </c>
      <c r="J352" s="97"/>
      <c r="K352" s="98"/>
      <c r="L352" s="113"/>
    </row>
    <row r="353" spans="1:12" s="141" customFormat="1" ht="19.5" customHeight="1">
      <c r="A353" s="86"/>
      <c r="B353" s="86"/>
      <c r="C353" s="82">
        <v>2025</v>
      </c>
      <c r="D353" s="86">
        <v>0</v>
      </c>
      <c r="E353" s="131">
        <v>0</v>
      </c>
      <c r="F353" s="131"/>
      <c r="G353" s="131"/>
      <c r="H353" s="135">
        <v>0</v>
      </c>
      <c r="I353" s="86">
        <v>0</v>
      </c>
      <c r="J353" s="97"/>
      <c r="K353" s="98"/>
      <c r="L353" s="113"/>
    </row>
    <row r="354" spans="1:12" s="141" customFormat="1" ht="19.5" customHeight="1">
      <c r="A354" s="86" t="s">
        <v>159</v>
      </c>
      <c r="B354" s="86" t="s">
        <v>160</v>
      </c>
      <c r="C354" s="82">
        <v>2017</v>
      </c>
      <c r="D354" s="86">
        <v>0</v>
      </c>
      <c r="E354" s="131">
        <v>0</v>
      </c>
      <c r="F354" s="131"/>
      <c r="G354" s="131"/>
      <c r="H354" s="135">
        <v>0</v>
      </c>
      <c r="I354" s="86">
        <v>0</v>
      </c>
      <c r="J354" s="97"/>
      <c r="K354" s="98"/>
      <c r="L354" s="113"/>
    </row>
    <row r="355" spans="1:12" s="141" customFormat="1" ht="19.5" customHeight="1">
      <c r="A355" s="86"/>
      <c r="B355" s="86"/>
      <c r="C355" s="82">
        <v>2018</v>
      </c>
      <c r="D355" s="86">
        <f>I355</f>
        <v>99.792</v>
      </c>
      <c r="E355" s="131">
        <v>0</v>
      </c>
      <c r="F355" s="131"/>
      <c r="G355" s="131"/>
      <c r="H355" s="135">
        <v>0</v>
      </c>
      <c r="I355" s="86">
        <f>112-0.208-12</f>
        <v>99.792</v>
      </c>
      <c r="J355" s="97"/>
      <c r="K355" s="98" t="s">
        <v>78</v>
      </c>
      <c r="L355" s="113"/>
    </row>
    <row r="356" spans="1:12" s="141" customFormat="1" ht="19.5" customHeight="1">
      <c r="A356" s="86"/>
      <c r="B356" s="86"/>
      <c r="C356" s="82">
        <v>2019</v>
      </c>
      <c r="D356" s="86">
        <v>0</v>
      </c>
      <c r="E356" s="131">
        <v>0</v>
      </c>
      <c r="F356" s="131"/>
      <c r="G356" s="131"/>
      <c r="H356" s="135">
        <v>0</v>
      </c>
      <c r="I356" s="86">
        <v>0</v>
      </c>
      <c r="J356" s="97"/>
      <c r="K356" s="98"/>
      <c r="L356" s="113"/>
    </row>
    <row r="357" spans="1:12" s="141" customFormat="1" ht="19.5" customHeight="1">
      <c r="A357" s="86"/>
      <c r="B357" s="86"/>
      <c r="C357" s="82">
        <v>2020</v>
      </c>
      <c r="D357" s="86">
        <v>0</v>
      </c>
      <c r="E357" s="131">
        <v>0</v>
      </c>
      <c r="F357" s="131"/>
      <c r="G357" s="131"/>
      <c r="H357" s="135">
        <v>0</v>
      </c>
      <c r="I357" s="86">
        <v>0</v>
      </c>
      <c r="J357" s="97"/>
      <c r="K357" s="98"/>
      <c r="L357" s="113"/>
    </row>
    <row r="358" spans="1:12" s="141" customFormat="1" ht="19.5" customHeight="1">
      <c r="A358" s="86"/>
      <c r="B358" s="86"/>
      <c r="C358" s="82">
        <v>2021</v>
      </c>
      <c r="D358" s="86">
        <v>0</v>
      </c>
      <c r="E358" s="131">
        <v>0</v>
      </c>
      <c r="F358" s="131"/>
      <c r="G358" s="131"/>
      <c r="H358" s="135">
        <v>0</v>
      </c>
      <c r="I358" s="86">
        <v>0</v>
      </c>
      <c r="J358" s="97"/>
      <c r="K358" s="98"/>
      <c r="L358" s="113"/>
    </row>
    <row r="359" spans="1:12" s="141" customFormat="1" ht="19.5" customHeight="1">
      <c r="A359" s="86"/>
      <c r="B359" s="86"/>
      <c r="C359" s="82">
        <v>2022</v>
      </c>
      <c r="D359" s="86">
        <v>0</v>
      </c>
      <c r="E359" s="131">
        <v>0</v>
      </c>
      <c r="F359" s="131"/>
      <c r="G359" s="131"/>
      <c r="H359" s="135">
        <v>0</v>
      </c>
      <c r="I359" s="86">
        <v>0</v>
      </c>
      <c r="J359" s="97"/>
      <c r="K359" s="98"/>
      <c r="L359" s="113"/>
    </row>
    <row r="360" spans="1:12" s="141" customFormat="1" ht="19.5" customHeight="1">
      <c r="A360" s="86"/>
      <c r="B360" s="86"/>
      <c r="C360" s="82">
        <v>2023</v>
      </c>
      <c r="D360" s="86">
        <v>0</v>
      </c>
      <c r="E360" s="131">
        <v>0</v>
      </c>
      <c r="F360" s="131"/>
      <c r="G360" s="131"/>
      <c r="H360" s="135">
        <v>0</v>
      </c>
      <c r="I360" s="86">
        <v>0</v>
      </c>
      <c r="J360" s="97"/>
      <c r="K360" s="98"/>
      <c r="L360" s="113"/>
    </row>
    <row r="361" spans="1:12" s="141" customFormat="1" ht="19.5" customHeight="1">
      <c r="A361" s="86"/>
      <c r="B361" s="86"/>
      <c r="C361" s="82">
        <v>2024</v>
      </c>
      <c r="D361" s="86">
        <v>0</v>
      </c>
      <c r="E361" s="131">
        <v>0</v>
      </c>
      <c r="F361" s="131"/>
      <c r="G361" s="131"/>
      <c r="H361" s="135">
        <v>0</v>
      </c>
      <c r="I361" s="86">
        <v>0</v>
      </c>
      <c r="J361" s="97"/>
      <c r="K361" s="98"/>
      <c r="L361" s="113"/>
    </row>
    <row r="362" spans="1:12" s="141" customFormat="1" ht="19.5" customHeight="1">
      <c r="A362" s="86"/>
      <c r="B362" s="86"/>
      <c r="C362" s="82">
        <v>2025</v>
      </c>
      <c r="D362" s="86">
        <v>0</v>
      </c>
      <c r="E362" s="131">
        <v>0</v>
      </c>
      <c r="F362" s="131"/>
      <c r="G362" s="131"/>
      <c r="H362" s="135">
        <v>0</v>
      </c>
      <c r="I362" s="86">
        <v>0</v>
      </c>
      <c r="J362" s="97"/>
      <c r="K362" s="98"/>
      <c r="L362" s="113"/>
    </row>
    <row r="363" spans="1:12" s="141" customFormat="1" ht="19.5" customHeight="1">
      <c r="A363" s="86" t="s">
        <v>161</v>
      </c>
      <c r="B363" s="86" t="s">
        <v>162</v>
      </c>
      <c r="C363" s="82">
        <v>2017</v>
      </c>
      <c r="D363" s="86">
        <v>0</v>
      </c>
      <c r="E363" s="131">
        <v>0</v>
      </c>
      <c r="F363" s="131"/>
      <c r="G363" s="131"/>
      <c r="H363" s="135">
        <v>0</v>
      </c>
      <c r="I363" s="86">
        <v>0</v>
      </c>
      <c r="J363" s="97"/>
      <c r="K363" s="98"/>
      <c r="L363" s="113"/>
    </row>
    <row r="364" spans="1:12" s="141" customFormat="1" ht="19.5" customHeight="1">
      <c r="A364" s="86"/>
      <c r="B364" s="86"/>
      <c r="C364" s="82">
        <v>2018</v>
      </c>
      <c r="D364" s="86">
        <f aca="true" t="shared" si="41" ref="D364:D371">I364</f>
        <v>210.463</v>
      </c>
      <c r="E364" s="131">
        <v>0</v>
      </c>
      <c r="F364" s="131"/>
      <c r="G364" s="131"/>
      <c r="H364" s="135">
        <v>0</v>
      </c>
      <c r="I364" s="86">
        <f>310-67.537-32</f>
        <v>210.463</v>
      </c>
      <c r="J364" s="97"/>
      <c r="K364" s="98" t="s">
        <v>163</v>
      </c>
      <c r="L364" s="113"/>
    </row>
    <row r="365" spans="1:12" s="141" customFormat="1" ht="19.5" customHeight="1">
      <c r="A365" s="86"/>
      <c r="B365" s="86"/>
      <c r="C365" s="82">
        <v>2019</v>
      </c>
      <c r="D365" s="86">
        <f t="shared" si="41"/>
        <v>0</v>
      </c>
      <c r="E365" s="131">
        <v>0</v>
      </c>
      <c r="F365" s="131"/>
      <c r="G365" s="131"/>
      <c r="H365" s="135">
        <v>0</v>
      </c>
      <c r="I365" s="86">
        <v>0</v>
      </c>
      <c r="J365" s="97"/>
      <c r="K365" s="98"/>
      <c r="L365" s="113"/>
    </row>
    <row r="366" spans="1:12" s="141" customFormat="1" ht="19.5" customHeight="1">
      <c r="A366" s="86"/>
      <c r="B366" s="86"/>
      <c r="C366" s="82">
        <v>2020</v>
      </c>
      <c r="D366" s="86">
        <f t="shared" si="41"/>
        <v>0</v>
      </c>
      <c r="E366" s="131">
        <v>0</v>
      </c>
      <c r="F366" s="131"/>
      <c r="G366" s="131"/>
      <c r="H366" s="135">
        <v>0</v>
      </c>
      <c r="I366" s="86">
        <v>0</v>
      </c>
      <c r="J366" s="97"/>
      <c r="K366" s="98"/>
      <c r="L366" s="113"/>
    </row>
    <row r="367" spans="1:12" s="141" customFormat="1" ht="19.5" customHeight="1">
      <c r="A367" s="86"/>
      <c r="B367" s="86"/>
      <c r="C367" s="82">
        <v>2021</v>
      </c>
      <c r="D367" s="86">
        <f t="shared" si="41"/>
        <v>0</v>
      </c>
      <c r="E367" s="131">
        <v>0</v>
      </c>
      <c r="F367" s="131"/>
      <c r="G367" s="131"/>
      <c r="H367" s="135">
        <v>0</v>
      </c>
      <c r="I367" s="86">
        <v>0</v>
      </c>
      <c r="J367" s="97"/>
      <c r="K367" s="98"/>
      <c r="L367" s="113"/>
    </row>
    <row r="368" spans="1:12" s="141" customFormat="1" ht="19.5" customHeight="1">
      <c r="A368" s="86"/>
      <c r="B368" s="86"/>
      <c r="C368" s="82">
        <v>2022</v>
      </c>
      <c r="D368" s="86">
        <f t="shared" si="41"/>
        <v>0</v>
      </c>
      <c r="E368" s="131">
        <v>0</v>
      </c>
      <c r="F368" s="131"/>
      <c r="G368" s="131"/>
      <c r="H368" s="135">
        <v>0</v>
      </c>
      <c r="I368" s="86">
        <v>0</v>
      </c>
      <c r="J368" s="97"/>
      <c r="K368" s="98"/>
      <c r="L368" s="113"/>
    </row>
    <row r="369" spans="1:12" s="141" customFormat="1" ht="19.5" customHeight="1">
      <c r="A369" s="86"/>
      <c r="B369" s="86"/>
      <c r="C369" s="82">
        <v>2023</v>
      </c>
      <c r="D369" s="86">
        <f t="shared" si="41"/>
        <v>0</v>
      </c>
      <c r="E369" s="131">
        <v>0</v>
      </c>
      <c r="F369" s="131"/>
      <c r="G369" s="131"/>
      <c r="H369" s="135">
        <v>0</v>
      </c>
      <c r="I369" s="86">
        <v>0</v>
      </c>
      <c r="J369" s="97"/>
      <c r="K369" s="98"/>
      <c r="L369" s="113"/>
    </row>
    <row r="370" spans="1:12" s="141" customFormat="1" ht="19.5" customHeight="1">
      <c r="A370" s="86"/>
      <c r="B370" s="86"/>
      <c r="C370" s="82">
        <v>2024</v>
      </c>
      <c r="D370" s="86">
        <f t="shared" si="41"/>
        <v>0</v>
      </c>
      <c r="E370" s="131">
        <v>0</v>
      </c>
      <c r="F370" s="131"/>
      <c r="G370" s="131"/>
      <c r="H370" s="135">
        <v>0</v>
      </c>
      <c r="I370" s="86">
        <v>0</v>
      </c>
      <c r="J370" s="97"/>
      <c r="K370" s="98"/>
      <c r="L370" s="113"/>
    </row>
    <row r="371" spans="1:12" s="141" customFormat="1" ht="19.5" customHeight="1">
      <c r="A371" s="86"/>
      <c r="B371" s="86"/>
      <c r="C371" s="82">
        <v>2025</v>
      </c>
      <c r="D371" s="86">
        <f t="shared" si="41"/>
        <v>0</v>
      </c>
      <c r="E371" s="131">
        <v>0</v>
      </c>
      <c r="F371" s="131"/>
      <c r="G371" s="131"/>
      <c r="H371" s="135">
        <v>0</v>
      </c>
      <c r="I371" s="86">
        <v>0</v>
      </c>
      <c r="J371" s="97"/>
      <c r="K371" s="98"/>
      <c r="L371" s="113"/>
    </row>
    <row r="372" spans="1:12" s="141" customFormat="1" ht="19.5" customHeight="1">
      <c r="A372" s="86" t="s">
        <v>164</v>
      </c>
      <c r="B372" s="86" t="s">
        <v>165</v>
      </c>
      <c r="C372" s="82">
        <v>2017</v>
      </c>
      <c r="D372" s="86">
        <v>0</v>
      </c>
      <c r="E372" s="131">
        <v>0</v>
      </c>
      <c r="F372" s="131"/>
      <c r="G372" s="131"/>
      <c r="H372" s="135">
        <v>0</v>
      </c>
      <c r="I372" s="86">
        <v>0</v>
      </c>
      <c r="J372" s="97"/>
      <c r="K372" s="86" t="s">
        <v>166</v>
      </c>
      <c r="L372" s="113"/>
    </row>
    <row r="373" spans="1:12" s="141" customFormat="1" ht="19.5" customHeight="1">
      <c r="A373" s="86"/>
      <c r="B373" s="86"/>
      <c r="C373" s="82">
        <v>2018</v>
      </c>
      <c r="D373" s="86">
        <f aca="true" t="shared" si="42" ref="D373:D380">I373</f>
        <v>160</v>
      </c>
      <c r="E373" s="131">
        <v>0</v>
      </c>
      <c r="F373" s="131"/>
      <c r="G373" s="131"/>
      <c r="H373" s="135">
        <v>0</v>
      </c>
      <c r="I373" s="86">
        <v>160</v>
      </c>
      <c r="J373" s="97"/>
      <c r="K373" s="86"/>
      <c r="L373" s="113"/>
    </row>
    <row r="374" spans="1:12" s="141" customFormat="1" ht="19.5" customHeight="1">
      <c r="A374" s="86"/>
      <c r="B374" s="86"/>
      <c r="C374" s="82">
        <v>2019</v>
      </c>
      <c r="D374" s="86">
        <f t="shared" si="42"/>
        <v>0</v>
      </c>
      <c r="E374" s="131">
        <v>0</v>
      </c>
      <c r="F374" s="131"/>
      <c r="G374" s="131"/>
      <c r="H374" s="135">
        <v>0</v>
      </c>
      <c r="I374" s="86">
        <v>0</v>
      </c>
      <c r="J374" s="97"/>
      <c r="K374" s="86"/>
      <c r="L374" s="113"/>
    </row>
    <row r="375" spans="1:12" s="141" customFormat="1" ht="19.5" customHeight="1">
      <c r="A375" s="86"/>
      <c r="B375" s="86"/>
      <c r="C375" s="82">
        <v>2020</v>
      </c>
      <c r="D375" s="86">
        <f t="shared" si="42"/>
        <v>0</v>
      </c>
      <c r="E375" s="131">
        <v>0</v>
      </c>
      <c r="F375" s="131"/>
      <c r="G375" s="131"/>
      <c r="H375" s="135">
        <v>0</v>
      </c>
      <c r="I375" s="86">
        <v>0</v>
      </c>
      <c r="J375" s="97"/>
      <c r="K375" s="86"/>
      <c r="L375" s="113"/>
    </row>
    <row r="376" spans="1:12" s="141" customFormat="1" ht="19.5" customHeight="1">
      <c r="A376" s="86"/>
      <c r="B376" s="86"/>
      <c r="C376" s="82">
        <v>2021</v>
      </c>
      <c r="D376" s="86">
        <f t="shared" si="42"/>
        <v>0</v>
      </c>
      <c r="E376" s="131">
        <v>0</v>
      </c>
      <c r="F376" s="131"/>
      <c r="G376" s="131"/>
      <c r="H376" s="135">
        <v>0</v>
      </c>
      <c r="I376" s="86">
        <v>0</v>
      </c>
      <c r="J376" s="97"/>
      <c r="K376" s="86"/>
      <c r="L376" s="113"/>
    </row>
    <row r="377" spans="1:12" s="141" customFormat="1" ht="19.5" customHeight="1">
      <c r="A377" s="86"/>
      <c r="B377" s="86"/>
      <c r="C377" s="82">
        <v>2022</v>
      </c>
      <c r="D377" s="86">
        <f t="shared" si="42"/>
        <v>0</v>
      </c>
      <c r="E377" s="131">
        <v>0</v>
      </c>
      <c r="F377" s="131"/>
      <c r="G377" s="131"/>
      <c r="H377" s="135">
        <v>0</v>
      </c>
      <c r="I377" s="86">
        <v>0</v>
      </c>
      <c r="J377" s="97"/>
      <c r="K377" s="86"/>
      <c r="L377" s="113"/>
    </row>
    <row r="378" spans="1:12" s="141" customFormat="1" ht="19.5" customHeight="1">
      <c r="A378" s="86"/>
      <c r="B378" s="86"/>
      <c r="C378" s="82">
        <v>2023</v>
      </c>
      <c r="D378" s="86">
        <f t="shared" si="42"/>
        <v>0</v>
      </c>
      <c r="E378" s="131">
        <v>0</v>
      </c>
      <c r="F378" s="131"/>
      <c r="G378" s="131"/>
      <c r="H378" s="135">
        <v>0</v>
      </c>
      <c r="I378" s="86">
        <v>0</v>
      </c>
      <c r="J378" s="97"/>
      <c r="K378" s="86"/>
      <c r="L378" s="113"/>
    </row>
    <row r="379" spans="1:12" s="141" customFormat="1" ht="19.5" customHeight="1">
      <c r="A379" s="86"/>
      <c r="B379" s="86"/>
      <c r="C379" s="82">
        <v>2024</v>
      </c>
      <c r="D379" s="86">
        <f t="shared" si="42"/>
        <v>0</v>
      </c>
      <c r="E379" s="131">
        <v>0</v>
      </c>
      <c r="F379" s="131"/>
      <c r="G379" s="131"/>
      <c r="H379" s="135">
        <v>0</v>
      </c>
      <c r="I379" s="86">
        <v>0</v>
      </c>
      <c r="J379" s="97"/>
      <c r="K379" s="86"/>
      <c r="L379" s="113"/>
    </row>
    <row r="380" spans="1:12" s="141" customFormat="1" ht="19.5" customHeight="1">
      <c r="A380" s="86"/>
      <c r="B380" s="86"/>
      <c r="C380" s="82">
        <v>2025</v>
      </c>
      <c r="D380" s="86">
        <f t="shared" si="42"/>
        <v>0</v>
      </c>
      <c r="E380" s="131">
        <v>0</v>
      </c>
      <c r="F380" s="131"/>
      <c r="G380" s="131"/>
      <c r="H380" s="135">
        <v>0</v>
      </c>
      <c r="I380" s="86">
        <v>0</v>
      </c>
      <c r="J380" s="97"/>
      <c r="K380" s="86"/>
      <c r="L380" s="113"/>
    </row>
    <row r="381" spans="1:12" s="141" customFormat="1" ht="19.5" customHeight="1">
      <c r="A381" s="86" t="s">
        <v>167</v>
      </c>
      <c r="B381" s="86" t="s">
        <v>168</v>
      </c>
      <c r="C381" s="82">
        <v>2017</v>
      </c>
      <c r="D381" s="86">
        <v>0</v>
      </c>
      <c r="E381" s="131">
        <v>0</v>
      </c>
      <c r="F381" s="131"/>
      <c r="G381" s="131"/>
      <c r="H381" s="135">
        <v>0</v>
      </c>
      <c r="I381" s="86">
        <v>0</v>
      </c>
      <c r="J381" s="97"/>
      <c r="K381" s="98"/>
      <c r="L381" s="113"/>
    </row>
    <row r="382" spans="1:12" s="141" customFormat="1" ht="19.5" customHeight="1">
      <c r="A382" s="86"/>
      <c r="B382" s="86"/>
      <c r="C382" s="82">
        <v>2018</v>
      </c>
      <c r="D382" s="86">
        <f aca="true" t="shared" si="43" ref="D382:D389">I382</f>
        <v>245.451</v>
      </c>
      <c r="E382" s="131">
        <v>0</v>
      </c>
      <c r="F382" s="131"/>
      <c r="G382" s="131"/>
      <c r="H382" s="135">
        <v>0</v>
      </c>
      <c r="I382" s="86">
        <f>255.701-10.25</f>
        <v>245.451</v>
      </c>
      <c r="J382" s="97"/>
      <c r="K382" s="98" t="s">
        <v>156</v>
      </c>
      <c r="L382" s="113"/>
    </row>
    <row r="383" spans="1:12" s="141" customFormat="1" ht="19.5" customHeight="1">
      <c r="A383" s="86"/>
      <c r="B383" s="86"/>
      <c r="C383" s="82">
        <v>2019</v>
      </c>
      <c r="D383" s="86">
        <f t="shared" si="43"/>
        <v>0</v>
      </c>
      <c r="E383" s="131">
        <v>0</v>
      </c>
      <c r="F383" s="131"/>
      <c r="G383" s="131"/>
      <c r="H383" s="135">
        <v>0</v>
      </c>
      <c r="I383" s="86">
        <v>0</v>
      </c>
      <c r="J383" s="97"/>
      <c r="K383" s="98"/>
      <c r="L383" s="113"/>
    </row>
    <row r="384" spans="1:12" s="141" customFormat="1" ht="19.5" customHeight="1">
      <c r="A384" s="86"/>
      <c r="B384" s="86"/>
      <c r="C384" s="82">
        <v>2020</v>
      </c>
      <c r="D384" s="86">
        <f t="shared" si="43"/>
        <v>0</v>
      </c>
      <c r="E384" s="131">
        <v>0</v>
      </c>
      <c r="F384" s="131"/>
      <c r="G384" s="131"/>
      <c r="H384" s="135">
        <v>0</v>
      </c>
      <c r="I384" s="86">
        <v>0</v>
      </c>
      <c r="J384" s="97"/>
      <c r="K384" s="98"/>
      <c r="L384" s="113"/>
    </row>
    <row r="385" spans="1:12" s="141" customFormat="1" ht="19.5" customHeight="1">
      <c r="A385" s="86"/>
      <c r="B385" s="86"/>
      <c r="C385" s="82">
        <v>2021</v>
      </c>
      <c r="D385" s="86">
        <f t="shared" si="43"/>
        <v>0</v>
      </c>
      <c r="E385" s="131">
        <v>0</v>
      </c>
      <c r="F385" s="131"/>
      <c r="G385" s="131"/>
      <c r="H385" s="135">
        <v>0</v>
      </c>
      <c r="I385" s="86">
        <v>0</v>
      </c>
      <c r="J385" s="97"/>
      <c r="K385" s="98"/>
      <c r="L385" s="113"/>
    </row>
    <row r="386" spans="1:12" s="141" customFormat="1" ht="19.5" customHeight="1">
      <c r="A386" s="86"/>
      <c r="B386" s="86"/>
      <c r="C386" s="82">
        <v>2022</v>
      </c>
      <c r="D386" s="86">
        <f t="shared" si="43"/>
        <v>0</v>
      </c>
      <c r="E386" s="131">
        <v>0</v>
      </c>
      <c r="F386" s="131"/>
      <c r="G386" s="131"/>
      <c r="H386" s="135">
        <v>0</v>
      </c>
      <c r="I386" s="86">
        <v>0</v>
      </c>
      <c r="J386" s="97"/>
      <c r="K386" s="98"/>
      <c r="L386" s="113"/>
    </row>
    <row r="387" spans="1:12" s="141" customFormat="1" ht="19.5" customHeight="1">
      <c r="A387" s="86"/>
      <c r="B387" s="86"/>
      <c r="C387" s="82">
        <v>2023</v>
      </c>
      <c r="D387" s="86">
        <f t="shared" si="43"/>
        <v>0</v>
      </c>
      <c r="E387" s="131">
        <v>0</v>
      </c>
      <c r="F387" s="131"/>
      <c r="G387" s="131"/>
      <c r="H387" s="135">
        <v>0</v>
      </c>
      <c r="I387" s="86">
        <v>0</v>
      </c>
      <c r="J387" s="97"/>
      <c r="K387" s="98"/>
      <c r="L387" s="113"/>
    </row>
    <row r="388" spans="1:12" s="141" customFormat="1" ht="19.5" customHeight="1">
      <c r="A388" s="86"/>
      <c r="B388" s="86"/>
      <c r="C388" s="82">
        <v>2024</v>
      </c>
      <c r="D388" s="86">
        <f t="shared" si="43"/>
        <v>0</v>
      </c>
      <c r="E388" s="131">
        <v>0</v>
      </c>
      <c r="F388" s="131"/>
      <c r="G388" s="131"/>
      <c r="H388" s="135">
        <v>0</v>
      </c>
      <c r="I388" s="86">
        <v>0</v>
      </c>
      <c r="J388" s="97"/>
      <c r="K388" s="98"/>
      <c r="L388" s="113"/>
    </row>
    <row r="389" spans="1:12" s="141" customFormat="1" ht="19.5" customHeight="1">
      <c r="A389" s="86"/>
      <c r="B389" s="86"/>
      <c r="C389" s="82">
        <v>2025</v>
      </c>
      <c r="D389" s="86">
        <f t="shared" si="43"/>
        <v>0</v>
      </c>
      <c r="E389" s="131">
        <v>0</v>
      </c>
      <c r="F389" s="131"/>
      <c r="G389" s="131"/>
      <c r="H389" s="135">
        <v>0</v>
      </c>
      <c r="I389" s="86">
        <v>0</v>
      </c>
      <c r="J389" s="97"/>
      <c r="K389" s="98"/>
      <c r="L389" s="113"/>
    </row>
    <row r="390" spans="1:12" s="141" customFormat="1" ht="19.5" customHeight="1">
      <c r="A390" s="86" t="s">
        <v>169</v>
      </c>
      <c r="B390" s="86" t="s">
        <v>170</v>
      </c>
      <c r="C390" s="82">
        <v>2017</v>
      </c>
      <c r="D390" s="86">
        <v>0</v>
      </c>
      <c r="E390" s="131">
        <v>0</v>
      </c>
      <c r="F390" s="131"/>
      <c r="G390" s="131"/>
      <c r="H390" s="135">
        <v>0</v>
      </c>
      <c r="I390" s="86">
        <v>0</v>
      </c>
      <c r="J390" s="97"/>
      <c r="K390" s="98"/>
      <c r="L390" s="113"/>
    </row>
    <row r="391" spans="1:12" s="141" customFormat="1" ht="19.5" customHeight="1">
      <c r="A391" s="86"/>
      <c r="B391" s="86"/>
      <c r="C391" s="82">
        <v>2018</v>
      </c>
      <c r="D391" s="86">
        <f aca="true" t="shared" si="44" ref="D391:D398">I391</f>
        <v>468.108</v>
      </c>
      <c r="E391" s="131">
        <v>0</v>
      </c>
      <c r="F391" s="131"/>
      <c r="G391" s="131"/>
      <c r="H391" s="135">
        <v>0</v>
      </c>
      <c r="I391" s="86">
        <f>58.48+10.428+399.2</f>
        <v>468.108</v>
      </c>
      <c r="J391" s="97"/>
      <c r="K391" s="98" t="s">
        <v>122</v>
      </c>
      <c r="L391" s="113"/>
    </row>
    <row r="392" spans="1:12" s="141" customFormat="1" ht="19.5" customHeight="1">
      <c r="A392" s="86"/>
      <c r="B392" s="86"/>
      <c r="C392" s="82">
        <v>2019</v>
      </c>
      <c r="D392" s="86">
        <f t="shared" si="44"/>
        <v>0</v>
      </c>
      <c r="E392" s="131">
        <v>0</v>
      </c>
      <c r="F392" s="131"/>
      <c r="G392" s="131"/>
      <c r="H392" s="135">
        <v>0</v>
      </c>
      <c r="I392" s="86">
        <v>0</v>
      </c>
      <c r="J392" s="97"/>
      <c r="K392" s="98"/>
      <c r="L392" s="113"/>
    </row>
    <row r="393" spans="1:12" s="141" customFormat="1" ht="19.5" customHeight="1">
      <c r="A393" s="86"/>
      <c r="B393" s="86"/>
      <c r="C393" s="82">
        <v>2020</v>
      </c>
      <c r="D393" s="86">
        <f t="shared" si="44"/>
        <v>0</v>
      </c>
      <c r="E393" s="131">
        <v>0</v>
      </c>
      <c r="F393" s="131"/>
      <c r="G393" s="131"/>
      <c r="H393" s="135">
        <v>0</v>
      </c>
      <c r="I393" s="86">
        <v>0</v>
      </c>
      <c r="J393" s="97"/>
      <c r="K393" s="98"/>
      <c r="L393" s="113"/>
    </row>
    <row r="394" spans="1:12" s="141" customFormat="1" ht="19.5" customHeight="1">
      <c r="A394" s="86"/>
      <c r="B394" s="86"/>
      <c r="C394" s="82">
        <v>2021</v>
      </c>
      <c r="D394" s="86">
        <f t="shared" si="44"/>
        <v>0</v>
      </c>
      <c r="E394" s="131">
        <v>0</v>
      </c>
      <c r="F394" s="131"/>
      <c r="G394" s="131"/>
      <c r="H394" s="135">
        <v>0</v>
      </c>
      <c r="I394" s="86">
        <v>0</v>
      </c>
      <c r="J394" s="97"/>
      <c r="K394" s="98"/>
      <c r="L394" s="113"/>
    </row>
    <row r="395" spans="1:12" s="141" customFormat="1" ht="19.5" customHeight="1">
      <c r="A395" s="86"/>
      <c r="B395" s="86"/>
      <c r="C395" s="82">
        <v>2022</v>
      </c>
      <c r="D395" s="86">
        <f t="shared" si="44"/>
        <v>0</v>
      </c>
      <c r="E395" s="131">
        <v>0</v>
      </c>
      <c r="F395" s="131"/>
      <c r="G395" s="131"/>
      <c r="H395" s="135">
        <v>0</v>
      </c>
      <c r="I395" s="86">
        <v>0</v>
      </c>
      <c r="J395" s="97"/>
      <c r="K395" s="98"/>
      <c r="L395" s="113"/>
    </row>
    <row r="396" spans="1:12" s="141" customFormat="1" ht="19.5" customHeight="1">
      <c r="A396" s="86"/>
      <c r="B396" s="86"/>
      <c r="C396" s="82">
        <v>2023</v>
      </c>
      <c r="D396" s="86">
        <f t="shared" si="44"/>
        <v>0</v>
      </c>
      <c r="E396" s="131">
        <v>0</v>
      </c>
      <c r="F396" s="131"/>
      <c r="G396" s="131"/>
      <c r="H396" s="135">
        <v>0</v>
      </c>
      <c r="I396" s="86">
        <v>0</v>
      </c>
      <c r="J396" s="97"/>
      <c r="K396" s="98"/>
      <c r="L396" s="113"/>
    </row>
    <row r="397" spans="1:12" s="141" customFormat="1" ht="19.5" customHeight="1">
      <c r="A397" s="86"/>
      <c r="B397" s="86"/>
      <c r="C397" s="82">
        <v>2024</v>
      </c>
      <c r="D397" s="86">
        <f t="shared" si="44"/>
        <v>0</v>
      </c>
      <c r="E397" s="131">
        <v>0</v>
      </c>
      <c r="F397" s="131"/>
      <c r="G397" s="131"/>
      <c r="H397" s="135">
        <v>0</v>
      </c>
      <c r="I397" s="86">
        <v>0</v>
      </c>
      <c r="J397" s="97"/>
      <c r="K397" s="98"/>
      <c r="L397" s="113"/>
    </row>
    <row r="398" spans="1:12" s="141" customFormat="1" ht="19.5" customHeight="1">
      <c r="A398" s="86"/>
      <c r="B398" s="86"/>
      <c r="C398" s="82">
        <v>2025</v>
      </c>
      <c r="D398" s="86">
        <f t="shared" si="44"/>
        <v>0</v>
      </c>
      <c r="E398" s="131">
        <v>0</v>
      </c>
      <c r="F398" s="131"/>
      <c r="G398" s="131"/>
      <c r="H398" s="135">
        <v>0</v>
      </c>
      <c r="I398" s="86">
        <v>0</v>
      </c>
      <c r="J398" s="97"/>
      <c r="K398" s="98"/>
      <c r="L398" s="113"/>
    </row>
    <row r="399" spans="1:12" s="141" customFormat="1" ht="19.5" customHeight="1">
      <c r="A399" s="86" t="s">
        <v>171</v>
      </c>
      <c r="B399" s="86" t="s">
        <v>172</v>
      </c>
      <c r="C399" s="82">
        <v>2017</v>
      </c>
      <c r="D399" s="86">
        <v>0</v>
      </c>
      <c r="E399" s="131">
        <v>0</v>
      </c>
      <c r="F399" s="131"/>
      <c r="G399" s="131"/>
      <c r="H399" s="135">
        <v>0</v>
      </c>
      <c r="I399" s="86">
        <v>0</v>
      </c>
      <c r="J399" s="97"/>
      <c r="K399" s="147" t="s">
        <v>173</v>
      </c>
      <c r="L399" s="113"/>
    </row>
    <row r="400" spans="1:12" s="141" customFormat="1" ht="19.5" customHeight="1">
      <c r="A400" s="86"/>
      <c r="B400" s="86"/>
      <c r="C400" s="82">
        <v>2018</v>
      </c>
      <c r="D400" s="86">
        <v>0</v>
      </c>
      <c r="E400" s="131">
        <v>0</v>
      </c>
      <c r="F400" s="131"/>
      <c r="G400" s="131"/>
      <c r="H400" s="135">
        <v>0</v>
      </c>
      <c r="I400" s="86">
        <v>0</v>
      </c>
      <c r="J400" s="97"/>
      <c r="K400" s="147"/>
      <c r="L400" s="113"/>
    </row>
    <row r="401" spans="1:12" s="141" customFormat="1" ht="19.5" customHeight="1">
      <c r="A401" s="86"/>
      <c r="B401" s="86"/>
      <c r="C401" s="82">
        <v>2019</v>
      </c>
      <c r="D401" s="86">
        <f aca="true" t="shared" si="45" ref="D401:D407">I401</f>
        <v>4102.315</v>
      </c>
      <c r="E401" s="131">
        <v>0</v>
      </c>
      <c r="F401" s="131"/>
      <c r="G401" s="131"/>
      <c r="H401" s="135">
        <v>0</v>
      </c>
      <c r="I401" s="86">
        <v>4102.315</v>
      </c>
      <c r="J401" s="149"/>
      <c r="K401" s="147"/>
      <c r="L401" s="113"/>
    </row>
    <row r="402" spans="1:12" s="141" customFormat="1" ht="19.5" customHeight="1">
      <c r="A402" s="86"/>
      <c r="B402" s="86"/>
      <c r="C402" s="82">
        <v>2020</v>
      </c>
      <c r="D402" s="86">
        <f t="shared" si="45"/>
        <v>0</v>
      </c>
      <c r="E402" s="131">
        <v>0</v>
      </c>
      <c r="F402" s="131"/>
      <c r="G402" s="131"/>
      <c r="H402" s="135">
        <v>0</v>
      </c>
      <c r="I402" s="86">
        <v>0</v>
      </c>
      <c r="J402" s="97"/>
      <c r="K402" s="147"/>
      <c r="L402" s="113"/>
    </row>
    <row r="403" spans="1:12" s="141" customFormat="1" ht="19.5" customHeight="1">
      <c r="A403" s="86"/>
      <c r="B403" s="86"/>
      <c r="C403" s="82">
        <v>2021</v>
      </c>
      <c r="D403" s="86">
        <f t="shared" si="45"/>
        <v>0</v>
      </c>
      <c r="E403" s="131">
        <v>0</v>
      </c>
      <c r="F403" s="131"/>
      <c r="G403" s="131"/>
      <c r="H403" s="135">
        <v>0</v>
      </c>
      <c r="I403" s="86">
        <v>0</v>
      </c>
      <c r="J403" s="97"/>
      <c r="K403" s="147"/>
      <c r="L403" s="113"/>
    </row>
    <row r="404" spans="1:12" s="141" customFormat="1" ht="19.5" customHeight="1">
      <c r="A404" s="86"/>
      <c r="B404" s="86"/>
      <c r="C404" s="82">
        <v>2022</v>
      </c>
      <c r="D404" s="86">
        <f t="shared" si="45"/>
        <v>0</v>
      </c>
      <c r="E404" s="131">
        <v>0</v>
      </c>
      <c r="F404" s="131"/>
      <c r="G404" s="131"/>
      <c r="H404" s="135">
        <v>0</v>
      </c>
      <c r="I404" s="86">
        <v>0</v>
      </c>
      <c r="J404" s="97"/>
      <c r="K404" s="147"/>
      <c r="L404" s="113"/>
    </row>
    <row r="405" spans="1:12" s="141" customFormat="1" ht="19.5" customHeight="1">
      <c r="A405" s="86"/>
      <c r="B405" s="86"/>
      <c r="C405" s="82">
        <v>2023</v>
      </c>
      <c r="D405" s="86">
        <f t="shared" si="45"/>
        <v>0</v>
      </c>
      <c r="E405" s="131">
        <v>0</v>
      </c>
      <c r="F405" s="131"/>
      <c r="G405" s="131"/>
      <c r="H405" s="135">
        <v>0</v>
      </c>
      <c r="I405" s="86">
        <v>0</v>
      </c>
      <c r="J405" s="97"/>
      <c r="K405" s="146"/>
      <c r="L405" s="113"/>
    </row>
    <row r="406" spans="1:12" s="141" customFormat="1" ht="19.5" customHeight="1">
      <c r="A406" s="86"/>
      <c r="B406" s="86"/>
      <c r="C406" s="82">
        <v>2024</v>
      </c>
      <c r="D406" s="86">
        <f t="shared" si="45"/>
        <v>0</v>
      </c>
      <c r="E406" s="131">
        <v>0</v>
      </c>
      <c r="F406" s="131"/>
      <c r="G406" s="131"/>
      <c r="H406" s="135">
        <v>0</v>
      </c>
      <c r="I406" s="86">
        <v>0</v>
      </c>
      <c r="J406" s="97"/>
      <c r="K406" s="146"/>
      <c r="L406" s="113"/>
    </row>
    <row r="407" spans="1:12" s="141" customFormat="1" ht="19.5" customHeight="1">
      <c r="A407" s="86"/>
      <c r="B407" s="86"/>
      <c r="C407" s="82">
        <v>2025</v>
      </c>
      <c r="D407" s="86">
        <f t="shared" si="45"/>
        <v>0</v>
      </c>
      <c r="E407" s="131">
        <v>0</v>
      </c>
      <c r="F407" s="131"/>
      <c r="G407" s="131"/>
      <c r="H407" s="135">
        <v>0</v>
      </c>
      <c r="I407" s="86">
        <v>0</v>
      </c>
      <c r="J407" s="97"/>
      <c r="K407" s="146"/>
      <c r="L407" s="113"/>
    </row>
    <row r="408" spans="1:12" s="141" customFormat="1" ht="19.5" customHeight="1">
      <c r="A408" s="86" t="s">
        <v>174</v>
      </c>
      <c r="B408" s="86" t="s">
        <v>175</v>
      </c>
      <c r="C408" s="82">
        <v>2017</v>
      </c>
      <c r="D408" s="86">
        <v>0</v>
      </c>
      <c r="E408" s="131">
        <v>0</v>
      </c>
      <c r="F408" s="131"/>
      <c r="G408" s="131"/>
      <c r="H408" s="135">
        <v>0</v>
      </c>
      <c r="I408" s="86">
        <v>0</v>
      </c>
      <c r="J408" s="97"/>
      <c r="K408" s="147" t="s">
        <v>173</v>
      </c>
      <c r="L408" s="113"/>
    </row>
    <row r="409" spans="1:12" s="141" customFormat="1" ht="19.5" customHeight="1">
      <c r="A409" s="86"/>
      <c r="B409" s="86"/>
      <c r="C409" s="82">
        <v>2018</v>
      </c>
      <c r="D409" s="86">
        <v>0</v>
      </c>
      <c r="E409" s="131">
        <v>0</v>
      </c>
      <c r="F409" s="131"/>
      <c r="G409" s="131"/>
      <c r="H409" s="135">
        <v>0</v>
      </c>
      <c r="I409" s="86">
        <v>0</v>
      </c>
      <c r="J409" s="97"/>
      <c r="K409" s="147"/>
      <c r="L409" s="113"/>
    </row>
    <row r="410" spans="1:12" s="141" customFormat="1" ht="19.5" customHeight="1">
      <c r="A410" s="86"/>
      <c r="B410" s="86"/>
      <c r="C410" s="82">
        <v>2019</v>
      </c>
      <c r="D410" s="86">
        <f aca="true" t="shared" si="46" ref="D410:D416">I410</f>
        <v>545.6</v>
      </c>
      <c r="E410" s="131">
        <v>0</v>
      </c>
      <c r="F410" s="131"/>
      <c r="G410" s="131"/>
      <c r="H410" s="135">
        <v>0</v>
      </c>
      <c r="I410" s="86">
        <v>545.6</v>
      </c>
      <c r="J410" s="97"/>
      <c r="K410" s="147"/>
      <c r="L410" s="113"/>
    </row>
    <row r="411" spans="1:12" s="141" customFormat="1" ht="19.5" customHeight="1">
      <c r="A411" s="86"/>
      <c r="B411" s="86"/>
      <c r="C411" s="82">
        <v>2020</v>
      </c>
      <c r="D411" s="86">
        <f t="shared" si="46"/>
        <v>0</v>
      </c>
      <c r="E411" s="131">
        <v>0</v>
      </c>
      <c r="F411" s="131"/>
      <c r="G411" s="131"/>
      <c r="H411" s="135">
        <v>0</v>
      </c>
      <c r="I411" s="86">
        <v>0</v>
      </c>
      <c r="J411" s="97"/>
      <c r="K411" s="147"/>
      <c r="L411" s="113"/>
    </row>
    <row r="412" spans="1:12" s="141" customFormat="1" ht="19.5" customHeight="1">
      <c r="A412" s="86"/>
      <c r="B412" s="86"/>
      <c r="C412" s="82">
        <v>2021</v>
      </c>
      <c r="D412" s="86">
        <f t="shared" si="46"/>
        <v>0</v>
      </c>
      <c r="E412" s="131">
        <v>0</v>
      </c>
      <c r="F412" s="131"/>
      <c r="G412" s="131"/>
      <c r="H412" s="135">
        <v>0</v>
      </c>
      <c r="I412" s="86">
        <v>0</v>
      </c>
      <c r="J412" s="97"/>
      <c r="K412" s="147"/>
      <c r="L412" s="113"/>
    </row>
    <row r="413" spans="1:12" s="141" customFormat="1" ht="19.5" customHeight="1">
      <c r="A413" s="86"/>
      <c r="B413" s="86"/>
      <c r="C413" s="82">
        <v>2022</v>
      </c>
      <c r="D413" s="86">
        <f t="shared" si="46"/>
        <v>0</v>
      </c>
      <c r="E413" s="131">
        <v>0</v>
      </c>
      <c r="F413" s="131"/>
      <c r="G413" s="131"/>
      <c r="H413" s="135">
        <v>0</v>
      </c>
      <c r="I413" s="86">
        <v>0</v>
      </c>
      <c r="J413" s="97"/>
      <c r="K413" s="147"/>
      <c r="L413" s="113"/>
    </row>
    <row r="414" spans="1:12" s="141" customFormat="1" ht="19.5" customHeight="1">
      <c r="A414" s="86"/>
      <c r="B414" s="86"/>
      <c r="C414" s="82">
        <v>2023</v>
      </c>
      <c r="D414" s="86">
        <f t="shared" si="46"/>
        <v>0</v>
      </c>
      <c r="E414" s="131">
        <v>0</v>
      </c>
      <c r="F414" s="131"/>
      <c r="G414" s="131"/>
      <c r="H414" s="135">
        <v>0</v>
      </c>
      <c r="I414" s="86">
        <v>0</v>
      </c>
      <c r="J414" s="97"/>
      <c r="K414" s="146"/>
      <c r="L414" s="113"/>
    </row>
    <row r="415" spans="1:12" s="141" customFormat="1" ht="19.5" customHeight="1">
      <c r="A415" s="86"/>
      <c r="B415" s="86"/>
      <c r="C415" s="82">
        <v>2024</v>
      </c>
      <c r="D415" s="86">
        <f t="shared" si="46"/>
        <v>0</v>
      </c>
      <c r="E415" s="131">
        <v>0</v>
      </c>
      <c r="F415" s="131"/>
      <c r="G415" s="131"/>
      <c r="H415" s="135">
        <v>0</v>
      </c>
      <c r="I415" s="86">
        <v>0</v>
      </c>
      <c r="J415" s="97"/>
      <c r="K415" s="146"/>
      <c r="L415" s="113"/>
    </row>
    <row r="416" spans="1:12" s="141" customFormat="1" ht="19.5" customHeight="1">
      <c r="A416" s="86"/>
      <c r="B416" s="86"/>
      <c r="C416" s="82">
        <v>2025</v>
      </c>
      <c r="D416" s="86">
        <f t="shared" si="46"/>
        <v>0</v>
      </c>
      <c r="E416" s="131">
        <v>0</v>
      </c>
      <c r="F416" s="131"/>
      <c r="G416" s="131"/>
      <c r="H416" s="135">
        <v>0</v>
      </c>
      <c r="I416" s="86">
        <v>0</v>
      </c>
      <c r="J416" s="97"/>
      <c r="K416" s="146"/>
      <c r="L416" s="113"/>
    </row>
    <row r="417" spans="1:12" s="141" customFormat="1" ht="19.5" customHeight="1">
      <c r="A417" s="86" t="s">
        <v>176</v>
      </c>
      <c r="B417" s="98" t="s">
        <v>177</v>
      </c>
      <c r="C417" s="82">
        <v>2017</v>
      </c>
      <c r="D417" s="86">
        <v>0</v>
      </c>
      <c r="E417" s="131">
        <v>0</v>
      </c>
      <c r="F417" s="131"/>
      <c r="G417" s="131"/>
      <c r="H417" s="135">
        <v>0</v>
      </c>
      <c r="I417" s="86">
        <v>0</v>
      </c>
      <c r="J417" s="137"/>
      <c r="K417" s="146" t="s">
        <v>125</v>
      </c>
      <c r="L417" s="113"/>
    </row>
    <row r="418" spans="1:12" s="141" customFormat="1" ht="19.5" customHeight="1">
      <c r="A418" s="86"/>
      <c r="B418" s="86"/>
      <c r="C418" s="82">
        <v>2018</v>
      </c>
      <c r="D418" s="86">
        <v>0</v>
      </c>
      <c r="E418" s="131">
        <v>0</v>
      </c>
      <c r="F418" s="131"/>
      <c r="G418" s="131"/>
      <c r="H418" s="135">
        <v>0</v>
      </c>
      <c r="I418" s="86">
        <v>0</v>
      </c>
      <c r="J418" s="97"/>
      <c r="K418" s="146"/>
      <c r="L418" s="113"/>
    </row>
    <row r="419" spans="1:12" s="141" customFormat="1" ht="19.5" customHeight="1">
      <c r="A419" s="86"/>
      <c r="B419" s="86"/>
      <c r="C419" s="82">
        <v>2019</v>
      </c>
      <c r="D419" s="86">
        <f aca="true" t="shared" si="47" ref="D419:D425">I419</f>
        <v>158.51999999999998</v>
      </c>
      <c r="E419" s="131">
        <v>0</v>
      </c>
      <c r="F419" s="131"/>
      <c r="G419" s="131"/>
      <c r="H419" s="135">
        <v>0</v>
      </c>
      <c r="I419" s="86">
        <f>175.67-17.15</f>
        <v>158.51999999999998</v>
      </c>
      <c r="J419" s="97"/>
      <c r="K419" s="146"/>
      <c r="L419" s="113"/>
    </row>
    <row r="420" spans="1:12" s="141" customFormat="1" ht="19.5" customHeight="1">
      <c r="A420" s="86"/>
      <c r="B420" s="86"/>
      <c r="C420" s="82">
        <v>2020</v>
      </c>
      <c r="D420" s="86">
        <f t="shared" si="47"/>
        <v>0</v>
      </c>
      <c r="E420" s="131">
        <v>0</v>
      </c>
      <c r="F420" s="131"/>
      <c r="G420" s="131"/>
      <c r="H420" s="135">
        <v>0</v>
      </c>
      <c r="I420" s="86">
        <v>0</v>
      </c>
      <c r="J420" s="97"/>
      <c r="K420" s="146"/>
      <c r="L420" s="113"/>
    </row>
    <row r="421" spans="1:12" s="141" customFormat="1" ht="19.5" customHeight="1">
      <c r="A421" s="86"/>
      <c r="B421" s="86"/>
      <c r="C421" s="82">
        <v>2021</v>
      </c>
      <c r="D421" s="86">
        <f t="shared" si="47"/>
        <v>0</v>
      </c>
      <c r="E421" s="131">
        <v>0</v>
      </c>
      <c r="F421" s="131"/>
      <c r="G421" s="131"/>
      <c r="H421" s="135">
        <v>0</v>
      </c>
      <c r="I421" s="86">
        <v>0</v>
      </c>
      <c r="J421" s="97"/>
      <c r="K421" s="146"/>
      <c r="L421" s="113"/>
    </row>
    <row r="422" spans="1:12" s="141" customFormat="1" ht="19.5" customHeight="1">
      <c r="A422" s="86"/>
      <c r="B422" s="86"/>
      <c r="C422" s="82">
        <v>2022</v>
      </c>
      <c r="D422" s="86">
        <f t="shared" si="47"/>
        <v>0</v>
      </c>
      <c r="E422" s="131">
        <v>0</v>
      </c>
      <c r="F422" s="131"/>
      <c r="G422" s="131"/>
      <c r="H422" s="135">
        <v>0</v>
      </c>
      <c r="I422" s="86">
        <v>0</v>
      </c>
      <c r="J422" s="97"/>
      <c r="K422" s="146"/>
      <c r="L422" s="113"/>
    </row>
    <row r="423" spans="1:12" s="141" customFormat="1" ht="19.5" customHeight="1">
      <c r="A423" s="86"/>
      <c r="B423" s="86"/>
      <c r="C423" s="82">
        <v>2023</v>
      </c>
      <c r="D423" s="86">
        <f t="shared" si="47"/>
        <v>0</v>
      </c>
      <c r="E423" s="131">
        <v>0</v>
      </c>
      <c r="F423" s="131"/>
      <c r="G423" s="131"/>
      <c r="H423" s="135">
        <v>0</v>
      </c>
      <c r="I423" s="86">
        <v>0</v>
      </c>
      <c r="J423" s="97"/>
      <c r="K423" s="146"/>
      <c r="L423" s="113"/>
    </row>
    <row r="424" spans="1:12" s="141" customFormat="1" ht="19.5" customHeight="1">
      <c r="A424" s="86"/>
      <c r="B424" s="86"/>
      <c r="C424" s="82">
        <v>2024</v>
      </c>
      <c r="D424" s="86">
        <f t="shared" si="47"/>
        <v>0</v>
      </c>
      <c r="E424" s="131">
        <v>0</v>
      </c>
      <c r="F424" s="131"/>
      <c r="G424" s="131"/>
      <c r="H424" s="135">
        <v>0</v>
      </c>
      <c r="I424" s="86">
        <v>0</v>
      </c>
      <c r="J424" s="97"/>
      <c r="K424" s="146"/>
      <c r="L424" s="113"/>
    </row>
    <row r="425" spans="1:12" s="141" customFormat="1" ht="19.5" customHeight="1">
      <c r="A425" s="86"/>
      <c r="B425" s="86"/>
      <c r="C425" s="82">
        <v>2025</v>
      </c>
      <c r="D425" s="86">
        <f t="shared" si="47"/>
        <v>0</v>
      </c>
      <c r="E425" s="131">
        <v>0</v>
      </c>
      <c r="F425" s="131"/>
      <c r="G425" s="131"/>
      <c r="H425" s="135">
        <v>0</v>
      </c>
      <c r="I425" s="86">
        <v>0</v>
      </c>
      <c r="J425" s="97"/>
      <c r="K425" s="146"/>
      <c r="L425" s="113"/>
    </row>
    <row r="426" spans="1:12" s="141" customFormat="1" ht="19.5" customHeight="1">
      <c r="A426" s="86" t="s">
        <v>178</v>
      </c>
      <c r="B426" s="86" t="s">
        <v>179</v>
      </c>
      <c r="C426" s="82">
        <v>2017</v>
      </c>
      <c r="D426" s="86">
        <v>0</v>
      </c>
      <c r="E426" s="131">
        <v>0</v>
      </c>
      <c r="F426" s="131"/>
      <c r="G426" s="131"/>
      <c r="H426" s="135">
        <v>0</v>
      </c>
      <c r="I426" s="86">
        <v>0</v>
      </c>
      <c r="J426" s="97"/>
      <c r="K426" s="147" t="s">
        <v>173</v>
      </c>
      <c r="L426" s="113"/>
    </row>
    <row r="427" spans="1:12" s="141" customFormat="1" ht="19.5" customHeight="1">
      <c r="A427" s="86"/>
      <c r="B427" s="86"/>
      <c r="C427" s="82">
        <v>2018</v>
      </c>
      <c r="D427" s="86">
        <v>0</v>
      </c>
      <c r="E427" s="131">
        <v>0</v>
      </c>
      <c r="F427" s="131"/>
      <c r="G427" s="131"/>
      <c r="H427" s="135">
        <v>0</v>
      </c>
      <c r="I427" s="86">
        <v>0</v>
      </c>
      <c r="J427" s="97"/>
      <c r="K427" s="147"/>
      <c r="L427" s="113"/>
    </row>
    <row r="428" spans="1:12" s="141" customFormat="1" ht="19.5" customHeight="1">
      <c r="A428" s="86"/>
      <c r="B428" s="86"/>
      <c r="C428" s="82">
        <v>2019</v>
      </c>
      <c r="D428" s="86">
        <f>I428</f>
        <v>0</v>
      </c>
      <c r="E428" s="131">
        <v>0</v>
      </c>
      <c r="F428" s="131"/>
      <c r="G428" s="131"/>
      <c r="H428" s="135">
        <v>0</v>
      </c>
      <c r="I428" s="86">
        <v>0</v>
      </c>
      <c r="J428" s="97"/>
      <c r="K428" s="147"/>
      <c r="L428" s="113"/>
    </row>
    <row r="429" spans="1:12" s="141" customFormat="1" ht="19.5" customHeight="1">
      <c r="A429" s="86"/>
      <c r="B429" s="86"/>
      <c r="C429" s="82">
        <v>2020</v>
      </c>
      <c r="D429" s="86">
        <v>0</v>
      </c>
      <c r="E429" s="131">
        <v>0</v>
      </c>
      <c r="F429" s="131"/>
      <c r="G429" s="131"/>
      <c r="H429" s="135">
        <v>0</v>
      </c>
      <c r="I429" s="86">
        <v>0</v>
      </c>
      <c r="J429" s="97"/>
      <c r="K429" s="147"/>
      <c r="L429" s="113"/>
    </row>
    <row r="430" spans="1:12" s="141" customFormat="1" ht="19.5" customHeight="1">
      <c r="A430" s="86"/>
      <c r="B430" s="86"/>
      <c r="C430" s="82">
        <v>2021</v>
      </c>
      <c r="D430" s="86">
        <v>0</v>
      </c>
      <c r="E430" s="131">
        <v>0</v>
      </c>
      <c r="F430" s="131"/>
      <c r="G430" s="131"/>
      <c r="H430" s="135">
        <v>0</v>
      </c>
      <c r="I430" s="86">
        <v>0</v>
      </c>
      <c r="J430" s="97"/>
      <c r="K430" s="147"/>
      <c r="L430" s="113"/>
    </row>
    <row r="431" spans="1:12" s="141" customFormat="1" ht="19.5" customHeight="1">
      <c r="A431" s="86"/>
      <c r="B431" s="86"/>
      <c r="C431" s="82">
        <v>2022</v>
      </c>
      <c r="D431" s="86">
        <v>0</v>
      </c>
      <c r="E431" s="131">
        <v>0</v>
      </c>
      <c r="F431" s="131"/>
      <c r="G431" s="131"/>
      <c r="H431" s="135">
        <v>0</v>
      </c>
      <c r="I431" s="86">
        <v>0</v>
      </c>
      <c r="J431" s="97"/>
      <c r="K431" s="147"/>
      <c r="L431" s="113"/>
    </row>
    <row r="432" spans="1:12" s="141" customFormat="1" ht="19.5" customHeight="1">
      <c r="A432" s="86"/>
      <c r="B432" s="86"/>
      <c r="C432" s="82">
        <v>2023</v>
      </c>
      <c r="D432" s="86">
        <v>0</v>
      </c>
      <c r="E432" s="131">
        <v>0</v>
      </c>
      <c r="F432" s="131"/>
      <c r="G432" s="131"/>
      <c r="H432" s="135">
        <v>0</v>
      </c>
      <c r="I432" s="86">
        <v>0</v>
      </c>
      <c r="J432" s="97"/>
      <c r="K432" s="146"/>
      <c r="L432" s="113"/>
    </row>
    <row r="433" spans="1:12" s="141" customFormat="1" ht="19.5" customHeight="1">
      <c r="A433" s="86"/>
      <c r="B433" s="86"/>
      <c r="C433" s="82">
        <v>2024</v>
      </c>
      <c r="D433" s="86">
        <v>0</v>
      </c>
      <c r="E433" s="131">
        <v>0</v>
      </c>
      <c r="F433" s="131"/>
      <c r="G433" s="131"/>
      <c r="H433" s="135">
        <v>0</v>
      </c>
      <c r="I433" s="86">
        <v>0</v>
      </c>
      <c r="J433" s="97"/>
      <c r="K433" s="146"/>
      <c r="L433" s="113"/>
    </row>
    <row r="434" spans="1:12" s="141" customFormat="1" ht="19.5" customHeight="1">
      <c r="A434" s="86"/>
      <c r="B434" s="86"/>
      <c r="C434" s="82">
        <v>2025</v>
      </c>
      <c r="D434" s="86">
        <v>0</v>
      </c>
      <c r="E434" s="131">
        <v>0</v>
      </c>
      <c r="F434" s="131"/>
      <c r="G434" s="131"/>
      <c r="H434" s="135">
        <v>0</v>
      </c>
      <c r="I434" s="86">
        <v>0</v>
      </c>
      <c r="J434" s="97"/>
      <c r="K434" s="146"/>
      <c r="L434" s="113"/>
    </row>
    <row r="435" spans="1:12" s="141" customFormat="1" ht="19.5" customHeight="1">
      <c r="A435" s="86" t="s">
        <v>180</v>
      </c>
      <c r="B435" s="86" t="s">
        <v>181</v>
      </c>
      <c r="C435" s="82">
        <v>2017</v>
      </c>
      <c r="D435" s="86">
        <v>0</v>
      </c>
      <c r="E435" s="131">
        <v>0</v>
      </c>
      <c r="F435" s="131"/>
      <c r="G435" s="131"/>
      <c r="H435" s="135">
        <v>0</v>
      </c>
      <c r="I435" s="86">
        <v>0</v>
      </c>
      <c r="J435" s="97"/>
      <c r="K435" s="146" t="s">
        <v>100</v>
      </c>
      <c r="L435" s="113"/>
    </row>
    <row r="436" spans="1:12" s="141" customFormat="1" ht="19.5" customHeight="1">
      <c r="A436" s="86"/>
      <c r="B436" s="86"/>
      <c r="C436" s="82">
        <v>2018</v>
      </c>
      <c r="D436" s="86">
        <v>0</v>
      </c>
      <c r="E436" s="131">
        <v>0</v>
      </c>
      <c r="F436" s="131"/>
      <c r="G436" s="131"/>
      <c r="H436" s="135">
        <v>0</v>
      </c>
      <c r="I436" s="86">
        <v>0</v>
      </c>
      <c r="J436" s="97"/>
      <c r="K436" s="146"/>
      <c r="L436" s="113"/>
    </row>
    <row r="437" spans="1:12" s="141" customFormat="1" ht="19.5" customHeight="1">
      <c r="A437" s="86"/>
      <c r="B437" s="86"/>
      <c r="C437" s="82">
        <v>2019</v>
      </c>
      <c r="D437" s="86">
        <f aca="true" t="shared" si="48" ref="D437:D443">I437</f>
        <v>114.425</v>
      </c>
      <c r="E437" s="131">
        <v>0</v>
      </c>
      <c r="F437" s="131"/>
      <c r="G437" s="131"/>
      <c r="H437" s="135">
        <v>0</v>
      </c>
      <c r="I437" s="86">
        <f>130-15.575</f>
        <v>114.425</v>
      </c>
      <c r="J437" s="97"/>
      <c r="K437" s="146"/>
      <c r="L437" s="113"/>
    </row>
    <row r="438" spans="1:12" s="141" customFormat="1" ht="19.5" customHeight="1">
      <c r="A438" s="86"/>
      <c r="B438" s="86"/>
      <c r="C438" s="82">
        <v>2020</v>
      </c>
      <c r="D438" s="86">
        <f t="shared" si="48"/>
        <v>0</v>
      </c>
      <c r="E438" s="131">
        <v>0</v>
      </c>
      <c r="F438" s="131"/>
      <c r="G438" s="131"/>
      <c r="H438" s="135">
        <v>0</v>
      </c>
      <c r="I438" s="86">
        <v>0</v>
      </c>
      <c r="J438" s="97"/>
      <c r="K438" s="146"/>
      <c r="L438" s="113"/>
    </row>
    <row r="439" spans="1:12" s="141" customFormat="1" ht="19.5" customHeight="1">
      <c r="A439" s="86"/>
      <c r="B439" s="86"/>
      <c r="C439" s="82">
        <v>2021</v>
      </c>
      <c r="D439" s="86">
        <f t="shared" si="48"/>
        <v>0</v>
      </c>
      <c r="E439" s="131">
        <v>0</v>
      </c>
      <c r="F439" s="131"/>
      <c r="G439" s="131"/>
      <c r="H439" s="135">
        <v>0</v>
      </c>
      <c r="I439" s="86">
        <v>0</v>
      </c>
      <c r="J439" s="97"/>
      <c r="K439" s="146"/>
      <c r="L439" s="113"/>
    </row>
    <row r="440" spans="1:12" s="141" customFormat="1" ht="19.5" customHeight="1">
      <c r="A440" s="86"/>
      <c r="B440" s="86"/>
      <c r="C440" s="82">
        <v>2022</v>
      </c>
      <c r="D440" s="86">
        <f t="shared" si="48"/>
        <v>0</v>
      </c>
      <c r="E440" s="131">
        <v>0</v>
      </c>
      <c r="F440" s="131"/>
      <c r="G440" s="131"/>
      <c r="H440" s="135">
        <v>0</v>
      </c>
      <c r="I440" s="86">
        <v>0</v>
      </c>
      <c r="J440" s="97"/>
      <c r="K440" s="146"/>
      <c r="L440" s="113"/>
    </row>
    <row r="441" spans="1:12" s="141" customFormat="1" ht="19.5" customHeight="1">
      <c r="A441" s="86"/>
      <c r="B441" s="86"/>
      <c r="C441" s="82">
        <v>2023</v>
      </c>
      <c r="D441" s="86">
        <f t="shared" si="48"/>
        <v>0</v>
      </c>
      <c r="E441" s="131">
        <v>0</v>
      </c>
      <c r="F441" s="131"/>
      <c r="G441" s="131"/>
      <c r="H441" s="135">
        <v>0</v>
      </c>
      <c r="I441" s="86">
        <v>0</v>
      </c>
      <c r="J441" s="97"/>
      <c r="K441" s="146"/>
      <c r="L441" s="113"/>
    </row>
    <row r="442" spans="1:12" s="141" customFormat="1" ht="19.5" customHeight="1">
      <c r="A442" s="86"/>
      <c r="B442" s="86"/>
      <c r="C442" s="82">
        <v>2024</v>
      </c>
      <c r="D442" s="86">
        <f t="shared" si="48"/>
        <v>0</v>
      </c>
      <c r="E442" s="131">
        <v>0</v>
      </c>
      <c r="F442" s="131"/>
      <c r="G442" s="131"/>
      <c r="H442" s="135">
        <v>0</v>
      </c>
      <c r="I442" s="86">
        <v>0</v>
      </c>
      <c r="J442" s="97"/>
      <c r="K442" s="146"/>
      <c r="L442" s="113"/>
    </row>
    <row r="443" spans="1:12" s="141" customFormat="1" ht="19.5" customHeight="1">
      <c r="A443" s="86"/>
      <c r="B443" s="86"/>
      <c r="C443" s="82">
        <v>2025</v>
      </c>
      <c r="D443" s="86">
        <f t="shared" si="48"/>
        <v>0</v>
      </c>
      <c r="E443" s="131">
        <v>0</v>
      </c>
      <c r="F443" s="131"/>
      <c r="G443" s="131"/>
      <c r="H443" s="135">
        <v>0</v>
      </c>
      <c r="I443" s="86">
        <v>0</v>
      </c>
      <c r="J443" s="97"/>
      <c r="K443" s="146"/>
      <c r="L443" s="113"/>
    </row>
    <row r="444" spans="1:12" s="141" customFormat="1" ht="19.5" customHeight="1">
      <c r="A444" s="86" t="s">
        <v>182</v>
      </c>
      <c r="B444" s="86" t="s">
        <v>183</v>
      </c>
      <c r="C444" s="82">
        <v>2017</v>
      </c>
      <c r="D444" s="86">
        <v>0</v>
      </c>
      <c r="E444" s="131">
        <v>0</v>
      </c>
      <c r="F444" s="131"/>
      <c r="G444" s="131"/>
      <c r="H444" s="135">
        <v>0</v>
      </c>
      <c r="I444" s="86">
        <v>0</v>
      </c>
      <c r="J444" s="97"/>
      <c r="K444" s="146" t="s">
        <v>184</v>
      </c>
      <c r="L444" s="113"/>
    </row>
    <row r="445" spans="1:12" s="141" customFormat="1" ht="19.5" customHeight="1">
      <c r="A445" s="86"/>
      <c r="B445" s="86"/>
      <c r="C445" s="82">
        <v>2018</v>
      </c>
      <c r="D445" s="86">
        <v>0</v>
      </c>
      <c r="E445" s="131">
        <v>0</v>
      </c>
      <c r="F445" s="131"/>
      <c r="G445" s="131"/>
      <c r="H445" s="135">
        <v>0</v>
      </c>
      <c r="I445" s="86">
        <v>0</v>
      </c>
      <c r="J445" s="97"/>
      <c r="K445" s="146"/>
      <c r="L445" s="113"/>
    </row>
    <row r="446" spans="1:12" s="141" customFormat="1" ht="19.5" customHeight="1">
      <c r="A446" s="86"/>
      <c r="B446" s="86"/>
      <c r="C446" s="82">
        <v>2019</v>
      </c>
      <c r="D446" s="86">
        <f aca="true" t="shared" si="49" ref="D446:D452">I446</f>
        <v>210</v>
      </c>
      <c r="E446" s="131">
        <v>0</v>
      </c>
      <c r="F446" s="131"/>
      <c r="G446" s="131"/>
      <c r="H446" s="135">
        <v>0</v>
      </c>
      <c r="I446" s="86">
        <v>210</v>
      </c>
      <c r="J446" s="97"/>
      <c r="K446" s="146"/>
      <c r="L446" s="113"/>
    </row>
    <row r="447" spans="1:12" s="141" customFormat="1" ht="19.5" customHeight="1">
      <c r="A447" s="86"/>
      <c r="B447" s="86"/>
      <c r="C447" s="82">
        <v>2020</v>
      </c>
      <c r="D447" s="86">
        <f t="shared" si="49"/>
        <v>0</v>
      </c>
      <c r="E447" s="131">
        <v>0</v>
      </c>
      <c r="F447" s="131"/>
      <c r="G447" s="131"/>
      <c r="H447" s="135">
        <v>0</v>
      </c>
      <c r="I447" s="86">
        <v>0</v>
      </c>
      <c r="J447" s="97"/>
      <c r="K447" s="146"/>
      <c r="L447" s="113"/>
    </row>
    <row r="448" spans="1:12" s="141" customFormat="1" ht="19.5" customHeight="1">
      <c r="A448" s="86"/>
      <c r="B448" s="86"/>
      <c r="C448" s="82">
        <v>2021</v>
      </c>
      <c r="D448" s="86">
        <f t="shared" si="49"/>
        <v>0</v>
      </c>
      <c r="E448" s="131">
        <v>0</v>
      </c>
      <c r="F448" s="131"/>
      <c r="G448" s="131"/>
      <c r="H448" s="135">
        <v>0</v>
      </c>
      <c r="I448" s="86">
        <v>0</v>
      </c>
      <c r="J448" s="97"/>
      <c r="K448" s="146"/>
      <c r="L448" s="113"/>
    </row>
    <row r="449" spans="1:12" s="141" customFormat="1" ht="19.5" customHeight="1">
      <c r="A449" s="86"/>
      <c r="B449" s="86"/>
      <c r="C449" s="82">
        <v>2022</v>
      </c>
      <c r="D449" s="86">
        <f t="shared" si="49"/>
        <v>0</v>
      </c>
      <c r="E449" s="131">
        <v>0</v>
      </c>
      <c r="F449" s="131"/>
      <c r="G449" s="131"/>
      <c r="H449" s="135">
        <v>0</v>
      </c>
      <c r="I449" s="86">
        <v>0</v>
      </c>
      <c r="J449" s="97"/>
      <c r="K449" s="146"/>
      <c r="L449" s="113"/>
    </row>
    <row r="450" spans="1:12" s="141" customFormat="1" ht="19.5" customHeight="1">
      <c r="A450" s="86"/>
      <c r="B450" s="86"/>
      <c r="C450" s="82">
        <v>2023</v>
      </c>
      <c r="D450" s="86">
        <f t="shared" si="49"/>
        <v>0</v>
      </c>
      <c r="E450" s="131">
        <v>0</v>
      </c>
      <c r="F450" s="131"/>
      <c r="G450" s="131"/>
      <c r="H450" s="135">
        <v>0</v>
      </c>
      <c r="I450" s="86">
        <v>0</v>
      </c>
      <c r="J450" s="97"/>
      <c r="K450" s="146"/>
      <c r="L450" s="113"/>
    </row>
    <row r="451" spans="1:12" s="141" customFormat="1" ht="19.5" customHeight="1">
      <c r="A451" s="86"/>
      <c r="B451" s="86"/>
      <c r="C451" s="82">
        <v>2024</v>
      </c>
      <c r="D451" s="86">
        <f t="shared" si="49"/>
        <v>0</v>
      </c>
      <c r="E451" s="131">
        <v>0</v>
      </c>
      <c r="F451" s="131"/>
      <c r="G451" s="131"/>
      <c r="H451" s="135">
        <v>0</v>
      </c>
      <c r="I451" s="86">
        <v>0</v>
      </c>
      <c r="J451" s="97"/>
      <c r="K451" s="146"/>
      <c r="L451" s="113"/>
    </row>
    <row r="452" spans="1:12" s="141" customFormat="1" ht="19.5" customHeight="1">
      <c r="A452" s="86"/>
      <c r="B452" s="86"/>
      <c r="C452" s="82">
        <v>2025</v>
      </c>
      <c r="D452" s="86">
        <f t="shared" si="49"/>
        <v>0</v>
      </c>
      <c r="E452" s="131">
        <v>0</v>
      </c>
      <c r="F452" s="131"/>
      <c r="G452" s="131"/>
      <c r="H452" s="135">
        <v>0</v>
      </c>
      <c r="I452" s="86">
        <v>0</v>
      </c>
      <c r="J452" s="97"/>
      <c r="K452" s="146"/>
      <c r="L452" s="113"/>
    </row>
    <row r="453" spans="1:12" s="141" customFormat="1" ht="19.5" customHeight="1">
      <c r="A453" s="86" t="s">
        <v>185</v>
      </c>
      <c r="B453" s="95" t="s">
        <v>186</v>
      </c>
      <c r="C453" s="82">
        <v>2017</v>
      </c>
      <c r="D453" s="86">
        <v>0</v>
      </c>
      <c r="E453" s="131">
        <v>0</v>
      </c>
      <c r="F453" s="131"/>
      <c r="G453" s="131"/>
      <c r="H453" s="135">
        <v>0</v>
      </c>
      <c r="I453" s="86">
        <v>0</v>
      </c>
      <c r="J453" s="97"/>
      <c r="K453" s="146"/>
      <c r="L453" s="113"/>
    </row>
    <row r="454" spans="1:12" s="141" customFormat="1" ht="19.5" customHeight="1">
      <c r="A454" s="86"/>
      <c r="B454" s="95"/>
      <c r="C454" s="82">
        <v>2018</v>
      </c>
      <c r="D454" s="86">
        <v>0</v>
      </c>
      <c r="E454" s="131">
        <v>0</v>
      </c>
      <c r="F454" s="131"/>
      <c r="G454" s="131"/>
      <c r="H454" s="135">
        <v>0</v>
      </c>
      <c r="I454" s="86">
        <v>0</v>
      </c>
      <c r="J454" s="97"/>
      <c r="K454" s="146"/>
      <c r="L454" s="113"/>
    </row>
    <row r="455" spans="1:12" s="141" customFormat="1" ht="19.5" customHeight="1">
      <c r="A455" s="86"/>
      <c r="B455" s="95"/>
      <c r="C455" s="82">
        <v>2019</v>
      </c>
      <c r="D455" s="86">
        <f aca="true" t="shared" si="50" ref="D455:D461">I455</f>
        <v>999.607</v>
      </c>
      <c r="E455" s="131">
        <v>0</v>
      </c>
      <c r="F455" s="131"/>
      <c r="G455" s="131"/>
      <c r="H455" s="135">
        <v>0</v>
      </c>
      <c r="I455" s="86">
        <f>809.885+190.115-0.393</f>
        <v>999.607</v>
      </c>
      <c r="J455" s="97"/>
      <c r="K455" s="146" t="s">
        <v>134</v>
      </c>
      <c r="L455" s="113"/>
    </row>
    <row r="456" spans="1:12" s="141" customFormat="1" ht="19.5" customHeight="1">
      <c r="A456" s="86"/>
      <c r="B456" s="95"/>
      <c r="C456" s="82">
        <v>2020</v>
      </c>
      <c r="D456" s="86">
        <f t="shared" si="50"/>
        <v>0</v>
      </c>
      <c r="E456" s="131">
        <v>0</v>
      </c>
      <c r="F456" s="131"/>
      <c r="G456" s="131"/>
      <c r="H456" s="135">
        <v>0</v>
      </c>
      <c r="I456" s="86">
        <v>0</v>
      </c>
      <c r="J456" s="97"/>
      <c r="K456" s="146"/>
      <c r="L456" s="113"/>
    </row>
    <row r="457" spans="1:12" s="141" customFormat="1" ht="19.5" customHeight="1">
      <c r="A457" s="86"/>
      <c r="B457" s="95"/>
      <c r="C457" s="82">
        <v>2021</v>
      </c>
      <c r="D457" s="86">
        <f t="shared" si="50"/>
        <v>0</v>
      </c>
      <c r="E457" s="131">
        <v>0</v>
      </c>
      <c r="F457" s="131"/>
      <c r="G457" s="131"/>
      <c r="H457" s="135">
        <v>0</v>
      </c>
      <c r="I457" s="86">
        <v>0</v>
      </c>
      <c r="J457" s="97"/>
      <c r="K457" s="146"/>
      <c r="L457" s="113"/>
    </row>
    <row r="458" spans="1:12" s="141" customFormat="1" ht="19.5" customHeight="1">
      <c r="A458" s="86"/>
      <c r="B458" s="95"/>
      <c r="C458" s="82">
        <v>2022</v>
      </c>
      <c r="D458" s="86">
        <f t="shared" si="50"/>
        <v>0</v>
      </c>
      <c r="E458" s="131">
        <v>0</v>
      </c>
      <c r="F458" s="131"/>
      <c r="G458" s="131"/>
      <c r="H458" s="135">
        <v>0</v>
      </c>
      <c r="I458" s="86">
        <v>0</v>
      </c>
      <c r="J458" s="97"/>
      <c r="K458" s="146"/>
      <c r="L458" s="113"/>
    </row>
    <row r="459" spans="1:12" s="141" customFormat="1" ht="19.5" customHeight="1">
      <c r="A459" s="86"/>
      <c r="B459" s="95"/>
      <c r="C459" s="101">
        <v>2023</v>
      </c>
      <c r="D459" s="102">
        <f t="shared" si="50"/>
        <v>1370.65913</v>
      </c>
      <c r="E459" s="138">
        <v>0</v>
      </c>
      <c r="F459" s="138"/>
      <c r="G459" s="138"/>
      <c r="H459" s="139">
        <v>0</v>
      </c>
      <c r="I459" s="102">
        <f>1405.7-35.04087</f>
        <v>1370.65913</v>
      </c>
      <c r="J459" s="97"/>
      <c r="K459" s="148" t="s">
        <v>173</v>
      </c>
      <c r="L459" s="113"/>
    </row>
    <row r="460" spans="1:12" s="141" customFormat="1" ht="19.5" customHeight="1">
      <c r="A460" s="86"/>
      <c r="B460" s="95"/>
      <c r="C460" s="82">
        <v>2024</v>
      </c>
      <c r="D460" s="86">
        <f t="shared" si="50"/>
        <v>0</v>
      </c>
      <c r="E460" s="131">
        <v>0</v>
      </c>
      <c r="F460" s="131"/>
      <c r="G460" s="131"/>
      <c r="H460" s="135">
        <v>0</v>
      </c>
      <c r="I460" s="86">
        <v>0</v>
      </c>
      <c r="J460" s="97"/>
      <c r="K460" s="146"/>
      <c r="L460" s="113"/>
    </row>
    <row r="461" spans="1:12" s="141" customFormat="1" ht="19.5" customHeight="1">
      <c r="A461" s="86"/>
      <c r="B461" s="95"/>
      <c r="C461" s="82">
        <v>2025</v>
      </c>
      <c r="D461" s="86">
        <f t="shared" si="50"/>
        <v>0</v>
      </c>
      <c r="E461" s="131">
        <v>0</v>
      </c>
      <c r="F461" s="131"/>
      <c r="G461" s="131"/>
      <c r="H461" s="135">
        <v>0</v>
      </c>
      <c r="I461" s="86">
        <v>0</v>
      </c>
      <c r="J461" s="97"/>
      <c r="K461" s="146"/>
      <c r="L461" s="113"/>
    </row>
    <row r="462" spans="1:12" s="141" customFormat="1" ht="19.5" customHeight="1">
      <c r="A462" s="86" t="s">
        <v>187</v>
      </c>
      <c r="B462" s="95" t="s">
        <v>188</v>
      </c>
      <c r="C462" s="82">
        <v>2017</v>
      </c>
      <c r="D462" s="86">
        <v>0</v>
      </c>
      <c r="E462" s="131">
        <v>0</v>
      </c>
      <c r="F462" s="131"/>
      <c r="G462" s="131"/>
      <c r="H462" s="135">
        <v>0</v>
      </c>
      <c r="I462" s="86">
        <v>0</v>
      </c>
      <c r="J462" s="97"/>
      <c r="K462" s="146"/>
      <c r="L462" s="113"/>
    </row>
    <row r="463" spans="1:12" s="141" customFormat="1" ht="19.5" customHeight="1">
      <c r="A463" s="86"/>
      <c r="B463" s="95"/>
      <c r="C463" s="82">
        <v>2018</v>
      </c>
      <c r="D463" s="86">
        <v>0</v>
      </c>
      <c r="E463" s="131">
        <v>0</v>
      </c>
      <c r="F463" s="131"/>
      <c r="G463" s="131"/>
      <c r="H463" s="135">
        <v>0</v>
      </c>
      <c r="I463" s="86">
        <v>0</v>
      </c>
      <c r="J463" s="97"/>
      <c r="K463" s="146"/>
      <c r="L463" s="113"/>
    </row>
    <row r="464" spans="1:12" s="141" customFormat="1" ht="19.5" customHeight="1">
      <c r="A464" s="86"/>
      <c r="B464" s="95"/>
      <c r="C464" s="82">
        <v>2019</v>
      </c>
      <c r="D464" s="86">
        <f aca="true" t="shared" si="51" ref="D464:D470">I464</f>
        <v>920.73976</v>
      </c>
      <c r="E464" s="131">
        <v>0</v>
      </c>
      <c r="F464" s="131"/>
      <c r="G464" s="131"/>
      <c r="H464" s="135">
        <v>0</v>
      </c>
      <c r="I464" s="86">
        <v>920.73976</v>
      </c>
      <c r="J464" s="97"/>
      <c r="K464" s="146" t="s">
        <v>189</v>
      </c>
      <c r="L464" s="113"/>
    </row>
    <row r="465" spans="1:12" s="141" customFormat="1" ht="19.5" customHeight="1">
      <c r="A465" s="86"/>
      <c r="B465" s="95"/>
      <c r="C465" s="82">
        <v>2020</v>
      </c>
      <c r="D465" s="86">
        <f t="shared" si="51"/>
        <v>0</v>
      </c>
      <c r="E465" s="131">
        <v>0</v>
      </c>
      <c r="F465" s="131"/>
      <c r="G465" s="131"/>
      <c r="H465" s="135">
        <v>0</v>
      </c>
      <c r="I465" s="86">
        <v>0</v>
      </c>
      <c r="J465" s="97"/>
      <c r="K465" s="146"/>
      <c r="L465" s="113"/>
    </row>
    <row r="466" spans="1:12" s="141" customFormat="1" ht="19.5" customHeight="1">
      <c r="A466" s="86"/>
      <c r="B466" s="95"/>
      <c r="C466" s="82">
        <v>2021</v>
      </c>
      <c r="D466" s="86">
        <f t="shared" si="51"/>
        <v>0</v>
      </c>
      <c r="E466" s="131">
        <v>0</v>
      </c>
      <c r="F466" s="131"/>
      <c r="G466" s="131"/>
      <c r="H466" s="135">
        <v>0</v>
      </c>
      <c r="I466" s="86">
        <v>0</v>
      </c>
      <c r="J466" s="97"/>
      <c r="K466" s="146"/>
      <c r="L466" s="113"/>
    </row>
    <row r="467" spans="1:12" s="141" customFormat="1" ht="19.5" customHeight="1">
      <c r="A467" s="86"/>
      <c r="B467" s="95"/>
      <c r="C467" s="82">
        <v>2022</v>
      </c>
      <c r="D467" s="86">
        <f t="shared" si="51"/>
        <v>0</v>
      </c>
      <c r="E467" s="131">
        <v>0</v>
      </c>
      <c r="F467" s="131"/>
      <c r="G467" s="131"/>
      <c r="H467" s="135">
        <v>0</v>
      </c>
      <c r="I467" s="86">
        <v>0</v>
      </c>
      <c r="J467" s="97"/>
      <c r="K467" s="146"/>
      <c r="L467" s="113"/>
    </row>
    <row r="468" spans="1:12" s="141" customFormat="1" ht="19.5" customHeight="1">
      <c r="A468" s="86"/>
      <c r="B468" s="95"/>
      <c r="C468" s="82">
        <v>2023</v>
      </c>
      <c r="D468" s="86">
        <f t="shared" si="51"/>
        <v>0</v>
      </c>
      <c r="E468" s="131">
        <v>0</v>
      </c>
      <c r="F468" s="131"/>
      <c r="G468" s="131"/>
      <c r="H468" s="135">
        <v>0</v>
      </c>
      <c r="I468" s="86">
        <v>0</v>
      </c>
      <c r="J468" s="97"/>
      <c r="K468" s="146"/>
      <c r="L468" s="113"/>
    </row>
    <row r="469" spans="1:12" s="141" customFormat="1" ht="19.5" customHeight="1">
      <c r="A469" s="86"/>
      <c r="B469" s="95"/>
      <c r="C469" s="82">
        <v>2024</v>
      </c>
      <c r="D469" s="86">
        <f t="shared" si="51"/>
        <v>0</v>
      </c>
      <c r="E469" s="131">
        <v>0</v>
      </c>
      <c r="F469" s="131"/>
      <c r="G469" s="131"/>
      <c r="H469" s="135">
        <v>0</v>
      </c>
      <c r="I469" s="86">
        <v>0</v>
      </c>
      <c r="J469" s="97"/>
      <c r="K469" s="146"/>
      <c r="L469" s="113"/>
    </row>
    <row r="470" spans="1:12" s="141" customFormat="1" ht="19.5" customHeight="1">
      <c r="A470" s="86"/>
      <c r="B470" s="95"/>
      <c r="C470" s="82">
        <v>2025</v>
      </c>
      <c r="D470" s="86">
        <f t="shared" si="51"/>
        <v>0</v>
      </c>
      <c r="E470" s="131">
        <v>0</v>
      </c>
      <c r="F470" s="131"/>
      <c r="G470" s="131"/>
      <c r="H470" s="135">
        <v>0</v>
      </c>
      <c r="I470" s="86">
        <v>0</v>
      </c>
      <c r="J470" s="97"/>
      <c r="K470" s="146"/>
      <c r="L470" s="113"/>
    </row>
    <row r="471" spans="1:12" s="141" customFormat="1" ht="19.5" customHeight="1">
      <c r="A471" s="86" t="s">
        <v>190</v>
      </c>
      <c r="B471" s="95" t="s">
        <v>191</v>
      </c>
      <c r="C471" s="82">
        <v>2017</v>
      </c>
      <c r="D471" s="86">
        <v>0</v>
      </c>
      <c r="E471" s="131">
        <v>0</v>
      </c>
      <c r="F471" s="131"/>
      <c r="G471" s="131"/>
      <c r="H471" s="135">
        <v>0</v>
      </c>
      <c r="I471" s="86">
        <v>0</v>
      </c>
      <c r="J471" s="97"/>
      <c r="K471" s="146"/>
      <c r="L471" s="113"/>
    </row>
    <row r="472" spans="1:12" s="141" customFormat="1" ht="19.5" customHeight="1">
      <c r="A472" s="86"/>
      <c r="B472" s="95"/>
      <c r="C472" s="82">
        <v>2018</v>
      </c>
      <c r="D472" s="86">
        <v>0</v>
      </c>
      <c r="E472" s="131">
        <v>0</v>
      </c>
      <c r="F472" s="131"/>
      <c r="G472" s="131"/>
      <c r="H472" s="135">
        <v>0</v>
      </c>
      <c r="I472" s="86">
        <v>0</v>
      </c>
      <c r="J472" s="97"/>
      <c r="K472" s="146"/>
      <c r="L472" s="113"/>
    </row>
    <row r="473" spans="1:12" s="141" customFormat="1" ht="19.5" customHeight="1">
      <c r="A473" s="86"/>
      <c r="B473" s="95"/>
      <c r="C473" s="82">
        <v>2019</v>
      </c>
      <c r="D473" s="86">
        <f aca="true" t="shared" si="52" ref="D473:D479">I473</f>
        <v>164.112</v>
      </c>
      <c r="E473" s="131">
        <v>0</v>
      </c>
      <c r="F473" s="131"/>
      <c r="G473" s="131"/>
      <c r="H473" s="135">
        <v>0</v>
      </c>
      <c r="I473" s="86">
        <v>164.112</v>
      </c>
      <c r="J473" s="97"/>
      <c r="K473" s="147" t="s">
        <v>173</v>
      </c>
      <c r="L473" s="113"/>
    </row>
    <row r="474" spans="1:12" s="141" customFormat="1" ht="19.5" customHeight="1">
      <c r="A474" s="86"/>
      <c r="B474" s="95"/>
      <c r="C474" s="82">
        <v>2020</v>
      </c>
      <c r="D474" s="86">
        <f t="shared" si="52"/>
        <v>0</v>
      </c>
      <c r="E474" s="131">
        <v>0</v>
      </c>
      <c r="F474" s="131"/>
      <c r="G474" s="131"/>
      <c r="H474" s="135">
        <v>0</v>
      </c>
      <c r="I474" s="86">
        <v>0</v>
      </c>
      <c r="J474" s="97"/>
      <c r="K474" s="146"/>
      <c r="L474" s="113"/>
    </row>
    <row r="475" spans="1:12" s="141" customFormat="1" ht="19.5" customHeight="1">
      <c r="A475" s="86"/>
      <c r="B475" s="95"/>
      <c r="C475" s="82">
        <v>2021</v>
      </c>
      <c r="D475" s="86">
        <f t="shared" si="52"/>
        <v>0</v>
      </c>
      <c r="E475" s="131">
        <v>0</v>
      </c>
      <c r="F475" s="131"/>
      <c r="G475" s="131"/>
      <c r="H475" s="135">
        <v>0</v>
      </c>
      <c r="I475" s="86">
        <v>0</v>
      </c>
      <c r="J475" s="97"/>
      <c r="K475" s="146"/>
      <c r="L475" s="113"/>
    </row>
    <row r="476" spans="1:12" s="141" customFormat="1" ht="19.5" customHeight="1">
      <c r="A476" s="86"/>
      <c r="B476" s="95"/>
      <c r="C476" s="82">
        <v>2022</v>
      </c>
      <c r="D476" s="86">
        <f t="shared" si="52"/>
        <v>0</v>
      </c>
      <c r="E476" s="131">
        <v>0</v>
      </c>
      <c r="F476" s="131"/>
      <c r="G476" s="131"/>
      <c r="H476" s="135">
        <v>0</v>
      </c>
      <c r="I476" s="86">
        <v>0</v>
      </c>
      <c r="J476" s="97"/>
      <c r="K476" s="146"/>
      <c r="L476" s="113"/>
    </row>
    <row r="477" spans="1:12" s="141" customFormat="1" ht="19.5" customHeight="1">
      <c r="A477" s="86"/>
      <c r="B477" s="95"/>
      <c r="C477" s="82">
        <v>2023</v>
      </c>
      <c r="D477" s="86">
        <f t="shared" si="52"/>
        <v>0</v>
      </c>
      <c r="E477" s="131">
        <v>0</v>
      </c>
      <c r="F477" s="131"/>
      <c r="G477" s="131"/>
      <c r="H477" s="135">
        <v>0</v>
      </c>
      <c r="I477" s="86">
        <v>0</v>
      </c>
      <c r="J477" s="97"/>
      <c r="K477" s="146"/>
      <c r="L477" s="113"/>
    </row>
    <row r="478" spans="1:12" s="141" customFormat="1" ht="19.5" customHeight="1">
      <c r="A478" s="86"/>
      <c r="B478" s="95"/>
      <c r="C478" s="82">
        <v>2024</v>
      </c>
      <c r="D478" s="86">
        <f t="shared" si="52"/>
        <v>0</v>
      </c>
      <c r="E478" s="131">
        <v>0</v>
      </c>
      <c r="F478" s="131"/>
      <c r="G478" s="131"/>
      <c r="H478" s="135">
        <v>0</v>
      </c>
      <c r="I478" s="86">
        <v>0</v>
      </c>
      <c r="J478" s="97"/>
      <c r="K478" s="146"/>
      <c r="L478" s="113"/>
    </row>
    <row r="479" spans="1:12" s="141" customFormat="1" ht="19.5" customHeight="1">
      <c r="A479" s="86"/>
      <c r="B479" s="95"/>
      <c r="C479" s="82">
        <v>2025</v>
      </c>
      <c r="D479" s="86">
        <f t="shared" si="52"/>
        <v>0</v>
      </c>
      <c r="E479" s="131">
        <v>0</v>
      </c>
      <c r="F479" s="131"/>
      <c r="G479" s="131"/>
      <c r="H479" s="135">
        <v>0</v>
      </c>
      <c r="I479" s="86">
        <v>0</v>
      </c>
      <c r="J479" s="97"/>
      <c r="K479" s="146"/>
      <c r="L479" s="113"/>
    </row>
    <row r="480" spans="1:12" s="141" customFormat="1" ht="19.5" customHeight="1">
      <c r="A480" s="86" t="s">
        <v>192</v>
      </c>
      <c r="B480" s="95" t="s">
        <v>193</v>
      </c>
      <c r="C480" s="82">
        <v>2017</v>
      </c>
      <c r="D480" s="86">
        <v>0</v>
      </c>
      <c r="E480" s="131">
        <v>0</v>
      </c>
      <c r="F480" s="131"/>
      <c r="G480" s="131"/>
      <c r="H480" s="135">
        <v>0</v>
      </c>
      <c r="I480" s="86">
        <v>0</v>
      </c>
      <c r="J480" s="97"/>
      <c r="K480" s="146"/>
      <c r="L480" s="113"/>
    </row>
    <row r="481" spans="1:12" s="141" customFormat="1" ht="19.5" customHeight="1">
      <c r="A481" s="86"/>
      <c r="B481" s="95"/>
      <c r="C481" s="82">
        <v>2018</v>
      </c>
      <c r="D481" s="86">
        <v>0</v>
      </c>
      <c r="E481" s="131">
        <v>0</v>
      </c>
      <c r="F481" s="131"/>
      <c r="G481" s="131"/>
      <c r="H481" s="135">
        <v>0</v>
      </c>
      <c r="I481" s="86">
        <v>0</v>
      </c>
      <c r="J481" s="97"/>
      <c r="K481" s="146"/>
      <c r="L481" s="113"/>
    </row>
    <row r="482" spans="1:12" s="141" customFormat="1" ht="19.5" customHeight="1">
      <c r="A482" s="86"/>
      <c r="B482" s="95"/>
      <c r="C482" s="82">
        <v>2019</v>
      </c>
      <c r="D482" s="86">
        <f>I482</f>
        <v>0</v>
      </c>
      <c r="E482" s="131">
        <v>0</v>
      </c>
      <c r="F482" s="131"/>
      <c r="G482" s="131"/>
      <c r="H482" s="135">
        <v>0</v>
      </c>
      <c r="I482" s="86">
        <v>0</v>
      </c>
      <c r="J482" s="97"/>
      <c r="K482" s="147" t="s">
        <v>173</v>
      </c>
      <c r="L482" s="113"/>
    </row>
    <row r="483" spans="1:12" s="141" customFormat="1" ht="19.5" customHeight="1">
      <c r="A483" s="86"/>
      <c r="B483" s="95"/>
      <c r="C483" s="82">
        <v>2020</v>
      </c>
      <c r="D483" s="86">
        <v>0</v>
      </c>
      <c r="E483" s="131">
        <v>0</v>
      </c>
      <c r="F483" s="131"/>
      <c r="G483" s="131"/>
      <c r="H483" s="135">
        <v>0</v>
      </c>
      <c r="I483" s="86">
        <v>0</v>
      </c>
      <c r="J483" s="97"/>
      <c r="K483" s="146"/>
      <c r="L483" s="113"/>
    </row>
    <row r="484" spans="1:12" s="141" customFormat="1" ht="19.5" customHeight="1">
      <c r="A484" s="86"/>
      <c r="B484" s="95"/>
      <c r="C484" s="82">
        <v>2021</v>
      </c>
      <c r="D484" s="86">
        <v>0</v>
      </c>
      <c r="E484" s="131">
        <v>0</v>
      </c>
      <c r="F484" s="131"/>
      <c r="G484" s="131"/>
      <c r="H484" s="135">
        <v>0</v>
      </c>
      <c r="I484" s="86">
        <v>0</v>
      </c>
      <c r="J484" s="97"/>
      <c r="K484" s="146"/>
      <c r="L484" s="113"/>
    </row>
    <row r="485" spans="1:12" s="141" customFormat="1" ht="19.5" customHeight="1">
      <c r="A485" s="86"/>
      <c r="B485" s="95"/>
      <c r="C485" s="82">
        <v>2022</v>
      </c>
      <c r="D485" s="86">
        <v>0</v>
      </c>
      <c r="E485" s="131">
        <v>0</v>
      </c>
      <c r="F485" s="131"/>
      <c r="G485" s="131"/>
      <c r="H485" s="135">
        <v>0</v>
      </c>
      <c r="I485" s="86">
        <v>0</v>
      </c>
      <c r="J485" s="97"/>
      <c r="K485" s="146"/>
      <c r="L485" s="113"/>
    </row>
    <row r="486" spans="1:12" s="141" customFormat="1" ht="19.5" customHeight="1">
      <c r="A486" s="86"/>
      <c r="B486" s="95"/>
      <c r="C486" s="82">
        <v>2023</v>
      </c>
      <c r="D486" s="86">
        <v>0</v>
      </c>
      <c r="E486" s="131">
        <v>0</v>
      </c>
      <c r="F486" s="131"/>
      <c r="G486" s="131"/>
      <c r="H486" s="135">
        <v>0</v>
      </c>
      <c r="I486" s="86">
        <v>0</v>
      </c>
      <c r="J486" s="97"/>
      <c r="K486" s="146"/>
      <c r="L486" s="113"/>
    </row>
    <row r="487" spans="1:12" s="141" customFormat="1" ht="19.5" customHeight="1">
      <c r="A487" s="86"/>
      <c r="B487" s="95"/>
      <c r="C487" s="82">
        <v>2024</v>
      </c>
      <c r="D487" s="86">
        <v>0</v>
      </c>
      <c r="E487" s="131">
        <v>0</v>
      </c>
      <c r="F487" s="131"/>
      <c r="G487" s="131"/>
      <c r="H487" s="135">
        <v>0</v>
      </c>
      <c r="I487" s="86">
        <v>0</v>
      </c>
      <c r="J487" s="97"/>
      <c r="K487" s="146"/>
      <c r="L487" s="113"/>
    </row>
    <row r="488" spans="1:12" s="141" customFormat="1" ht="19.5" customHeight="1">
      <c r="A488" s="86"/>
      <c r="B488" s="95"/>
      <c r="C488" s="82">
        <v>2025</v>
      </c>
      <c r="D488" s="86">
        <v>0</v>
      </c>
      <c r="E488" s="131">
        <v>0</v>
      </c>
      <c r="F488" s="131"/>
      <c r="G488" s="131"/>
      <c r="H488" s="135">
        <v>0</v>
      </c>
      <c r="I488" s="86">
        <v>0</v>
      </c>
      <c r="J488" s="97"/>
      <c r="K488" s="146"/>
      <c r="L488" s="113"/>
    </row>
    <row r="489" spans="1:12" s="141" customFormat="1" ht="19.5" customHeight="1">
      <c r="A489" s="86" t="s">
        <v>194</v>
      </c>
      <c r="B489" s="95" t="s">
        <v>195</v>
      </c>
      <c r="C489" s="82">
        <v>2017</v>
      </c>
      <c r="D489" s="86">
        <v>0</v>
      </c>
      <c r="E489" s="131">
        <v>0</v>
      </c>
      <c r="F489" s="131"/>
      <c r="G489" s="131"/>
      <c r="H489" s="135">
        <v>0</v>
      </c>
      <c r="I489" s="86">
        <v>0</v>
      </c>
      <c r="J489" s="97"/>
      <c r="K489" s="146"/>
      <c r="L489" s="113"/>
    </row>
    <row r="490" spans="1:12" s="141" customFormat="1" ht="19.5" customHeight="1">
      <c r="A490" s="86"/>
      <c r="B490" s="95"/>
      <c r="C490" s="82">
        <v>2018</v>
      </c>
      <c r="D490" s="86">
        <v>0</v>
      </c>
      <c r="E490" s="131">
        <v>0</v>
      </c>
      <c r="F490" s="131"/>
      <c r="G490" s="131"/>
      <c r="H490" s="135">
        <v>0</v>
      </c>
      <c r="I490" s="86">
        <v>0</v>
      </c>
      <c r="J490" s="97"/>
      <c r="K490" s="146"/>
      <c r="L490" s="113"/>
    </row>
    <row r="491" spans="1:12" s="141" customFormat="1" ht="19.5" customHeight="1">
      <c r="A491" s="86"/>
      <c r="B491" s="95"/>
      <c r="C491" s="82">
        <v>2019</v>
      </c>
      <c r="D491" s="86">
        <f aca="true" t="shared" si="53" ref="D491:D497">I491</f>
        <v>112.185</v>
      </c>
      <c r="E491" s="131">
        <v>0</v>
      </c>
      <c r="F491" s="131"/>
      <c r="G491" s="131"/>
      <c r="H491" s="135">
        <v>0</v>
      </c>
      <c r="I491" s="86">
        <f>88.345+23.84</f>
        <v>112.185</v>
      </c>
      <c r="J491" s="97"/>
      <c r="K491" s="146" t="s">
        <v>100</v>
      </c>
      <c r="L491" s="113"/>
    </row>
    <row r="492" spans="1:12" s="141" customFormat="1" ht="19.5" customHeight="1">
      <c r="A492" s="86"/>
      <c r="B492" s="95"/>
      <c r="C492" s="82">
        <v>2020</v>
      </c>
      <c r="D492" s="86">
        <f t="shared" si="53"/>
        <v>0</v>
      </c>
      <c r="E492" s="131">
        <v>0</v>
      </c>
      <c r="F492" s="131"/>
      <c r="G492" s="131"/>
      <c r="H492" s="135">
        <v>0</v>
      </c>
      <c r="I492" s="86">
        <v>0</v>
      </c>
      <c r="J492" s="97"/>
      <c r="K492" s="146"/>
      <c r="L492" s="113"/>
    </row>
    <row r="493" spans="1:12" s="141" customFormat="1" ht="19.5" customHeight="1">
      <c r="A493" s="86"/>
      <c r="B493" s="95"/>
      <c r="C493" s="82">
        <v>2021</v>
      </c>
      <c r="D493" s="86">
        <f t="shared" si="53"/>
        <v>0</v>
      </c>
      <c r="E493" s="131">
        <v>0</v>
      </c>
      <c r="F493" s="131"/>
      <c r="G493" s="131"/>
      <c r="H493" s="135">
        <v>0</v>
      </c>
      <c r="I493" s="86">
        <v>0</v>
      </c>
      <c r="J493" s="97"/>
      <c r="K493" s="146"/>
      <c r="L493" s="113"/>
    </row>
    <row r="494" spans="1:12" s="141" customFormat="1" ht="19.5" customHeight="1">
      <c r="A494" s="86"/>
      <c r="B494" s="95"/>
      <c r="C494" s="82">
        <v>2022</v>
      </c>
      <c r="D494" s="86">
        <f t="shared" si="53"/>
        <v>0</v>
      </c>
      <c r="E494" s="131">
        <v>0</v>
      </c>
      <c r="F494" s="131"/>
      <c r="G494" s="131"/>
      <c r="H494" s="135">
        <v>0</v>
      </c>
      <c r="I494" s="86">
        <v>0</v>
      </c>
      <c r="J494" s="97"/>
      <c r="K494" s="146"/>
      <c r="L494" s="113"/>
    </row>
    <row r="495" spans="1:12" s="141" customFormat="1" ht="19.5" customHeight="1">
      <c r="A495" s="86"/>
      <c r="B495" s="95"/>
      <c r="C495" s="82">
        <v>2023</v>
      </c>
      <c r="D495" s="86">
        <f t="shared" si="53"/>
        <v>0</v>
      </c>
      <c r="E495" s="131">
        <v>0</v>
      </c>
      <c r="F495" s="131"/>
      <c r="G495" s="131"/>
      <c r="H495" s="135">
        <v>0</v>
      </c>
      <c r="I495" s="86">
        <v>0</v>
      </c>
      <c r="J495" s="97"/>
      <c r="K495" s="146"/>
      <c r="L495" s="113"/>
    </row>
    <row r="496" spans="1:12" s="141" customFormat="1" ht="19.5" customHeight="1">
      <c r="A496" s="86"/>
      <c r="B496" s="95"/>
      <c r="C496" s="82">
        <v>2024</v>
      </c>
      <c r="D496" s="86">
        <f t="shared" si="53"/>
        <v>0</v>
      </c>
      <c r="E496" s="131">
        <v>0</v>
      </c>
      <c r="F496" s="131"/>
      <c r="G496" s="131"/>
      <c r="H496" s="135">
        <v>0</v>
      </c>
      <c r="I496" s="86">
        <v>0</v>
      </c>
      <c r="J496" s="97"/>
      <c r="K496" s="146"/>
      <c r="L496" s="113"/>
    </row>
    <row r="497" spans="1:12" s="141" customFormat="1" ht="19.5" customHeight="1">
      <c r="A497" s="86"/>
      <c r="B497" s="95"/>
      <c r="C497" s="82">
        <v>2025</v>
      </c>
      <c r="D497" s="86">
        <f t="shared" si="53"/>
        <v>0</v>
      </c>
      <c r="E497" s="131">
        <v>0</v>
      </c>
      <c r="F497" s="131"/>
      <c r="G497" s="131"/>
      <c r="H497" s="135">
        <v>0</v>
      </c>
      <c r="I497" s="86">
        <v>0</v>
      </c>
      <c r="J497" s="97"/>
      <c r="K497" s="146"/>
      <c r="L497" s="113"/>
    </row>
    <row r="498" spans="1:12" s="141" customFormat="1" ht="19.5" customHeight="1">
      <c r="A498" s="86" t="s">
        <v>196</v>
      </c>
      <c r="B498" s="95" t="s">
        <v>197</v>
      </c>
      <c r="C498" s="82">
        <v>2017</v>
      </c>
      <c r="D498" s="86">
        <v>0</v>
      </c>
      <c r="E498" s="131">
        <v>0</v>
      </c>
      <c r="F498" s="131"/>
      <c r="G498" s="131"/>
      <c r="H498" s="135">
        <v>0</v>
      </c>
      <c r="I498" s="86">
        <v>0</v>
      </c>
      <c r="J498" s="97"/>
      <c r="K498" s="146"/>
      <c r="L498" s="113"/>
    </row>
    <row r="499" spans="1:12" s="141" customFormat="1" ht="19.5" customHeight="1">
      <c r="A499" s="86"/>
      <c r="B499" s="95"/>
      <c r="C499" s="82">
        <v>2018</v>
      </c>
      <c r="D499" s="86">
        <v>0</v>
      </c>
      <c r="E499" s="131">
        <v>0</v>
      </c>
      <c r="F499" s="131"/>
      <c r="G499" s="131"/>
      <c r="H499" s="135">
        <v>0</v>
      </c>
      <c r="I499" s="86">
        <v>0</v>
      </c>
      <c r="J499" s="97"/>
      <c r="K499" s="146"/>
      <c r="L499" s="113"/>
    </row>
    <row r="500" spans="1:12" s="141" customFormat="1" ht="19.5" customHeight="1">
      <c r="A500" s="86"/>
      <c r="B500" s="95"/>
      <c r="C500" s="82">
        <v>2019</v>
      </c>
      <c r="D500" s="86">
        <f aca="true" t="shared" si="54" ref="D500:D506">I500</f>
        <v>399</v>
      </c>
      <c r="E500" s="131">
        <v>0</v>
      </c>
      <c r="F500" s="131"/>
      <c r="G500" s="131"/>
      <c r="H500" s="135">
        <v>0</v>
      </c>
      <c r="I500" s="86">
        <v>399</v>
      </c>
      <c r="J500" s="97"/>
      <c r="K500" s="146" t="s">
        <v>198</v>
      </c>
      <c r="L500" s="113"/>
    </row>
    <row r="501" spans="1:12" s="141" customFormat="1" ht="19.5" customHeight="1">
      <c r="A501" s="86"/>
      <c r="B501" s="95"/>
      <c r="C501" s="82">
        <v>2020</v>
      </c>
      <c r="D501" s="86">
        <f t="shared" si="54"/>
        <v>0</v>
      </c>
      <c r="E501" s="131">
        <v>0</v>
      </c>
      <c r="F501" s="131"/>
      <c r="G501" s="131"/>
      <c r="H501" s="135">
        <v>0</v>
      </c>
      <c r="I501" s="86">
        <v>0</v>
      </c>
      <c r="J501" s="97"/>
      <c r="K501" s="146"/>
      <c r="L501" s="113"/>
    </row>
    <row r="502" spans="1:12" s="141" customFormat="1" ht="19.5" customHeight="1">
      <c r="A502" s="86"/>
      <c r="B502" s="95"/>
      <c r="C502" s="82">
        <v>2021</v>
      </c>
      <c r="D502" s="86">
        <f t="shared" si="54"/>
        <v>0</v>
      </c>
      <c r="E502" s="131">
        <v>0</v>
      </c>
      <c r="F502" s="131"/>
      <c r="G502" s="131"/>
      <c r="H502" s="135">
        <v>0</v>
      </c>
      <c r="I502" s="86">
        <v>0</v>
      </c>
      <c r="J502" s="97"/>
      <c r="K502" s="146"/>
      <c r="L502" s="113"/>
    </row>
    <row r="503" spans="1:12" s="141" customFormat="1" ht="19.5" customHeight="1">
      <c r="A503" s="86"/>
      <c r="B503" s="95"/>
      <c r="C503" s="82">
        <v>2022</v>
      </c>
      <c r="D503" s="86">
        <f t="shared" si="54"/>
        <v>0</v>
      </c>
      <c r="E503" s="131">
        <v>0</v>
      </c>
      <c r="F503" s="131"/>
      <c r="G503" s="131"/>
      <c r="H503" s="135">
        <v>0</v>
      </c>
      <c r="I503" s="86">
        <v>0</v>
      </c>
      <c r="J503" s="97"/>
      <c r="K503" s="146"/>
      <c r="L503" s="113"/>
    </row>
    <row r="504" spans="1:12" s="141" customFormat="1" ht="19.5" customHeight="1">
      <c r="A504" s="86"/>
      <c r="B504" s="95"/>
      <c r="C504" s="82">
        <v>2023</v>
      </c>
      <c r="D504" s="86">
        <f t="shared" si="54"/>
        <v>0</v>
      </c>
      <c r="E504" s="131">
        <v>0</v>
      </c>
      <c r="F504" s="131"/>
      <c r="G504" s="131"/>
      <c r="H504" s="135">
        <v>0</v>
      </c>
      <c r="I504" s="86">
        <v>0</v>
      </c>
      <c r="J504" s="97"/>
      <c r="K504" s="146"/>
      <c r="L504" s="113"/>
    </row>
    <row r="505" spans="1:12" s="141" customFormat="1" ht="19.5" customHeight="1">
      <c r="A505" s="86"/>
      <c r="B505" s="95"/>
      <c r="C505" s="82">
        <v>2024</v>
      </c>
      <c r="D505" s="86">
        <f t="shared" si="54"/>
        <v>0</v>
      </c>
      <c r="E505" s="131">
        <v>0</v>
      </c>
      <c r="F505" s="131"/>
      <c r="G505" s="131"/>
      <c r="H505" s="135">
        <v>0</v>
      </c>
      <c r="I505" s="86">
        <v>0</v>
      </c>
      <c r="J505" s="97"/>
      <c r="K505" s="146"/>
      <c r="L505" s="113"/>
    </row>
    <row r="506" spans="1:12" s="141" customFormat="1" ht="19.5" customHeight="1">
      <c r="A506" s="86"/>
      <c r="B506" s="95"/>
      <c r="C506" s="82">
        <v>2025</v>
      </c>
      <c r="D506" s="86">
        <f t="shared" si="54"/>
        <v>0</v>
      </c>
      <c r="E506" s="131">
        <v>0</v>
      </c>
      <c r="F506" s="131"/>
      <c r="G506" s="131"/>
      <c r="H506" s="135">
        <v>0</v>
      </c>
      <c r="I506" s="86">
        <v>0</v>
      </c>
      <c r="J506" s="97"/>
      <c r="K506" s="146"/>
      <c r="L506" s="113"/>
    </row>
    <row r="507" spans="1:12" s="141" customFormat="1" ht="19.5" customHeight="1">
      <c r="A507" s="86" t="s">
        <v>199</v>
      </c>
      <c r="B507" s="95" t="s">
        <v>200</v>
      </c>
      <c r="C507" s="82">
        <v>2017</v>
      </c>
      <c r="D507" s="86">
        <v>0</v>
      </c>
      <c r="E507" s="131">
        <v>0</v>
      </c>
      <c r="F507" s="131"/>
      <c r="G507" s="131"/>
      <c r="H507" s="135">
        <v>0</v>
      </c>
      <c r="I507" s="86">
        <v>0</v>
      </c>
      <c r="J507" s="97"/>
      <c r="K507" s="146"/>
      <c r="L507" s="113"/>
    </row>
    <row r="508" spans="1:12" s="141" customFormat="1" ht="19.5" customHeight="1">
      <c r="A508" s="86"/>
      <c r="B508" s="95"/>
      <c r="C508" s="82">
        <v>2018</v>
      </c>
      <c r="D508" s="86">
        <v>0</v>
      </c>
      <c r="E508" s="131">
        <v>0</v>
      </c>
      <c r="F508" s="131"/>
      <c r="G508" s="131"/>
      <c r="H508" s="135">
        <v>0</v>
      </c>
      <c r="I508" s="86">
        <v>0</v>
      </c>
      <c r="J508" s="97"/>
      <c r="K508" s="146"/>
      <c r="L508" s="113"/>
    </row>
    <row r="509" spans="1:12" s="141" customFormat="1" ht="19.5" customHeight="1">
      <c r="A509" s="86"/>
      <c r="B509" s="95"/>
      <c r="C509" s="82">
        <v>2019</v>
      </c>
      <c r="D509" s="86">
        <f aca="true" t="shared" si="55" ref="D509:D515">I509</f>
        <v>581.71354</v>
      </c>
      <c r="E509" s="131">
        <v>0</v>
      </c>
      <c r="F509" s="131"/>
      <c r="G509" s="131"/>
      <c r="H509" s="135">
        <v>0</v>
      </c>
      <c r="I509" s="86">
        <f>574.4-116.5+170-46.18646</f>
        <v>581.71354</v>
      </c>
      <c r="J509" s="137"/>
      <c r="K509" s="146" t="s">
        <v>125</v>
      </c>
      <c r="L509" s="113"/>
    </row>
    <row r="510" spans="1:12" s="141" customFormat="1" ht="19.5" customHeight="1">
      <c r="A510" s="86"/>
      <c r="B510" s="95"/>
      <c r="C510" s="82">
        <v>2020</v>
      </c>
      <c r="D510" s="86">
        <f t="shared" si="55"/>
        <v>569.919</v>
      </c>
      <c r="E510" s="131">
        <v>0</v>
      </c>
      <c r="F510" s="131"/>
      <c r="G510" s="131"/>
      <c r="H510" s="135">
        <v>0</v>
      </c>
      <c r="I510" s="86">
        <f>570-0.081</f>
        <v>569.919</v>
      </c>
      <c r="J510" s="97"/>
      <c r="K510" s="146"/>
      <c r="L510" s="113"/>
    </row>
    <row r="511" spans="1:12" s="141" customFormat="1" ht="19.5" customHeight="1">
      <c r="A511" s="86"/>
      <c r="B511" s="95"/>
      <c r="C511" s="82">
        <v>2021</v>
      </c>
      <c r="D511" s="86">
        <f t="shared" si="55"/>
        <v>570</v>
      </c>
      <c r="E511" s="131">
        <v>0</v>
      </c>
      <c r="F511" s="131"/>
      <c r="G511" s="131"/>
      <c r="H511" s="135">
        <v>0</v>
      </c>
      <c r="I511" s="86">
        <f>300+270</f>
        <v>570</v>
      </c>
      <c r="J511" s="97"/>
      <c r="K511" s="146"/>
      <c r="L511" s="113"/>
    </row>
    <row r="512" spans="1:12" s="141" customFormat="1" ht="19.5" customHeight="1">
      <c r="A512" s="86"/>
      <c r="B512" s="95"/>
      <c r="C512" s="82">
        <v>2022</v>
      </c>
      <c r="D512" s="86">
        <f t="shared" si="55"/>
        <v>508.61069</v>
      </c>
      <c r="E512" s="131">
        <v>0</v>
      </c>
      <c r="F512" s="131"/>
      <c r="G512" s="131"/>
      <c r="H512" s="135">
        <v>0</v>
      </c>
      <c r="I512" s="86">
        <v>508.61069</v>
      </c>
      <c r="J512" s="97"/>
      <c r="K512" s="146"/>
      <c r="L512" s="113"/>
    </row>
    <row r="513" spans="1:12" s="141" customFormat="1" ht="19.5" customHeight="1">
      <c r="A513" s="86"/>
      <c r="B513" s="95"/>
      <c r="C513" s="82">
        <v>2023</v>
      </c>
      <c r="D513" s="86">
        <f t="shared" si="55"/>
        <v>0</v>
      </c>
      <c r="E513" s="131">
        <v>0</v>
      </c>
      <c r="F513" s="131"/>
      <c r="G513" s="131"/>
      <c r="H513" s="135">
        <v>0</v>
      </c>
      <c r="I513" s="86">
        <v>0</v>
      </c>
      <c r="J513" s="97"/>
      <c r="K513" s="146"/>
      <c r="L513" s="113"/>
    </row>
    <row r="514" spans="1:12" s="141" customFormat="1" ht="19.5" customHeight="1">
      <c r="A514" s="86"/>
      <c r="B514" s="95"/>
      <c r="C514" s="82">
        <v>2024</v>
      </c>
      <c r="D514" s="86">
        <f t="shared" si="55"/>
        <v>0</v>
      </c>
      <c r="E514" s="131">
        <v>0</v>
      </c>
      <c r="F514" s="131"/>
      <c r="G514" s="131"/>
      <c r="H514" s="135">
        <v>0</v>
      </c>
      <c r="I514" s="86">
        <v>0</v>
      </c>
      <c r="J514" s="97"/>
      <c r="K514" s="146"/>
      <c r="L514" s="113"/>
    </row>
    <row r="515" spans="1:12" s="141" customFormat="1" ht="19.5" customHeight="1">
      <c r="A515" s="86"/>
      <c r="B515" s="95"/>
      <c r="C515" s="82">
        <v>2025</v>
      </c>
      <c r="D515" s="86">
        <f t="shared" si="55"/>
        <v>0</v>
      </c>
      <c r="E515" s="131">
        <v>0</v>
      </c>
      <c r="F515" s="131"/>
      <c r="G515" s="131"/>
      <c r="H515" s="135">
        <v>0</v>
      </c>
      <c r="I515" s="86">
        <v>0</v>
      </c>
      <c r="J515" s="97"/>
      <c r="K515" s="146"/>
      <c r="L515" s="113"/>
    </row>
    <row r="516" spans="1:12" s="141" customFormat="1" ht="19.5" customHeight="1">
      <c r="A516" s="86" t="s">
        <v>201</v>
      </c>
      <c r="B516" s="95" t="s">
        <v>202</v>
      </c>
      <c r="C516" s="82">
        <v>2017</v>
      </c>
      <c r="D516" s="86">
        <v>0</v>
      </c>
      <c r="E516" s="131">
        <v>0</v>
      </c>
      <c r="F516" s="131"/>
      <c r="G516" s="131"/>
      <c r="H516" s="135">
        <v>0</v>
      </c>
      <c r="I516" s="86">
        <v>0</v>
      </c>
      <c r="J516" s="97"/>
      <c r="K516" s="146"/>
      <c r="L516" s="113"/>
    </row>
    <row r="517" spans="1:12" s="141" customFormat="1" ht="19.5" customHeight="1">
      <c r="A517" s="86"/>
      <c r="B517" s="95"/>
      <c r="C517" s="82">
        <v>2018</v>
      </c>
      <c r="D517" s="86">
        <v>0</v>
      </c>
      <c r="E517" s="131">
        <v>0</v>
      </c>
      <c r="F517" s="131"/>
      <c r="G517" s="131"/>
      <c r="H517" s="135">
        <v>0</v>
      </c>
      <c r="I517" s="86">
        <v>0</v>
      </c>
      <c r="J517" s="97"/>
      <c r="K517" s="146"/>
      <c r="L517" s="113"/>
    </row>
    <row r="518" spans="1:12" s="141" customFormat="1" ht="19.5" customHeight="1">
      <c r="A518" s="86"/>
      <c r="B518" s="95"/>
      <c r="C518" s="82">
        <v>2019</v>
      </c>
      <c r="D518" s="86">
        <f aca="true" t="shared" si="56" ref="D518:D524">I518</f>
        <v>273.154</v>
      </c>
      <c r="E518" s="131">
        <v>0</v>
      </c>
      <c r="F518" s="131"/>
      <c r="G518" s="131"/>
      <c r="H518" s="135">
        <v>0</v>
      </c>
      <c r="I518" s="86">
        <v>273.154</v>
      </c>
      <c r="J518" s="97"/>
      <c r="K518" s="146" t="s">
        <v>203</v>
      </c>
      <c r="L518" s="113"/>
    </row>
    <row r="519" spans="1:12" s="141" customFormat="1" ht="19.5" customHeight="1">
      <c r="A519" s="86"/>
      <c r="B519" s="95"/>
      <c r="C519" s="82">
        <v>2020</v>
      </c>
      <c r="D519" s="86">
        <f t="shared" si="56"/>
        <v>0</v>
      </c>
      <c r="E519" s="131">
        <v>0</v>
      </c>
      <c r="F519" s="131"/>
      <c r="G519" s="131"/>
      <c r="H519" s="135">
        <v>0</v>
      </c>
      <c r="I519" s="86">
        <v>0</v>
      </c>
      <c r="J519" s="97"/>
      <c r="K519" s="146"/>
      <c r="L519" s="113"/>
    </row>
    <row r="520" spans="1:12" s="141" customFormat="1" ht="19.5" customHeight="1">
      <c r="A520" s="86"/>
      <c r="B520" s="95"/>
      <c r="C520" s="82">
        <v>2021</v>
      </c>
      <c r="D520" s="86">
        <f t="shared" si="56"/>
        <v>0</v>
      </c>
      <c r="E520" s="131">
        <v>0</v>
      </c>
      <c r="F520" s="131"/>
      <c r="G520" s="131"/>
      <c r="H520" s="135">
        <v>0</v>
      </c>
      <c r="I520" s="86">
        <v>0</v>
      </c>
      <c r="J520" s="97"/>
      <c r="K520" s="146"/>
      <c r="L520" s="113"/>
    </row>
    <row r="521" spans="1:12" s="141" customFormat="1" ht="19.5" customHeight="1">
      <c r="A521" s="86"/>
      <c r="B521" s="95"/>
      <c r="C521" s="82">
        <v>2022</v>
      </c>
      <c r="D521" s="86">
        <f t="shared" si="56"/>
        <v>0</v>
      </c>
      <c r="E521" s="131">
        <v>0</v>
      </c>
      <c r="F521" s="131"/>
      <c r="G521" s="131"/>
      <c r="H521" s="135">
        <v>0</v>
      </c>
      <c r="I521" s="86">
        <v>0</v>
      </c>
      <c r="J521" s="97"/>
      <c r="K521" s="146"/>
      <c r="L521" s="113"/>
    </row>
    <row r="522" spans="1:12" s="141" customFormat="1" ht="19.5" customHeight="1">
      <c r="A522" s="86"/>
      <c r="B522" s="95"/>
      <c r="C522" s="82">
        <v>2023</v>
      </c>
      <c r="D522" s="86">
        <f t="shared" si="56"/>
        <v>0</v>
      </c>
      <c r="E522" s="131">
        <v>0</v>
      </c>
      <c r="F522" s="131"/>
      <c r="G522" s="131"/>
      <c r="H522" s="135">
        <v>0</v>
      </c>
      <c r="I522" s="86">
        <v>0</v>
      </c>
      <c r="J522" s="97"/>
      <c r="K522" s="146"/>
      <c r="L522" s="113"/>
    </row>
    <row r="523" spans="1:12" s="141" customFormat="1" ht="19.5" customHeight="1">
      <c r="A523" s="86"/>
      <c r="B523" s="95"/>
      <c r="C523" s="82">
        <v>2024</v>
      </c>
      <c r="D523" s="86">
        <f t="shared" si="56"/>
        <v>0</v>
      </c>
      <c r="E523" s="131">
        <v>0</v>
      </c>
      <c r="F523" s="131"/>
      <c r="G523" s="131"/>
      <c r="H523" s="135">
        <v>0</v>
      </c>
      <c r="I523" s="86">
        <v>0</v>
      </c>
      <c r="J523" s="97"/>
      <c r="K523" s="146"/>
      <c r="L523" s="113"/>
    </row>
    <row r="524" spans="1:12" s="141" customFormat="1" ht="19.5" customHeight="1">
      <c r="A524" s="86"/>
      <c r="B524" s="95"/>
      <c r="C524" s="82">
        <v>2025</v>
      </c>
      <c r="D524" s="86">
        <f t="shared" si="56"/>
        <v>0</v>
      </c>
      <c r="E524" s="131">
        <v>0</v>
      </c>
      <c r="F524" s="131"/>
      <c r="G524" s="131"/>
      <c r="H524" s="135">
        <v>0</v>
      </c>
      <c r="I524" s="86">
        <v>0</v>
      </c>
      <c r="J524" s="97"/>
      <c r="K524" s="146"/>
      <c r="L524" s="113"/>
    </row>
    <row r="525" spans="1:12" s="141" customFormat="1" ht="19.5" customHeight="1">
      <c r="A525" s="86" t="s">
        <v>204</v>
      </c>
      <c r="B525" s="95" t="s">
        <v>205</v>
      </c>
      <c r="C525" s="82">
        <v>2017</v>
      </c>
      <c r="D525" s="86">
        <v>0</v>
      </c>
      <c r="E525" s="131">
        <v>0</v>
      </c>
      <c r="F525" s="131"/>
      <c r="G525" s="131"/>
      <c r="H525" s="135">
        <v>0</v>
      </c>
      <c r="I525" s="86">
        <v>0</v>
      </c>
      <c r="J525" s="97"/>
      <c r="K525" s="146"/>
      <c r="L525" s="113"/>
    </row>
    <row r="526" spans="1:12" s="141" customFormat="1" ht="19.5" customHeight="1">
      <c r="A526" s="86"/>
      <c r="B526" s="95"/>
      <c r="C526" s="82">
        <v>2018</v>
      </c>
      <c r="D526" s="86">
        <v>0</v>
      </c>
      <c r="E526" s="131">
        <v>0</v>
      </c>
      <c r="F526" s="131"/>
      <c r="G526" s="131"/>
      <c r="H526" s="135">
        <v>0</v>
      </c>
      <c r="I526" s="86">
        <v>0</v>
      </c>
      <c r="J526" s="97"/>
      <c r="K526" s="146"/>
      <c r="L526" s="113"/>
    </row>
    <row r="527" spans="1:12" s="141" customFormat="1" ht="19.5" customHeight="1">
      <c r="A527" s="86"/>
      <c r="B527" s="95"/>
      <c r="C527" s="94">
        <v>2019</v>
      </c>
      <c r="D527" s="95">
        <f aca="true" t="shared" si="57" ref="D527:D533">I527</f>
        <v>43.896</v>
      </c>
      <c r="E527" s="95">
        <v>0</v>
      </c>
      <c r="F527" s="95"/>
      <c r="G527" s="95"/>
      <c r="H527" s="136">
        <v>0</v>
      </c>
      <c r="I527" s="95">
        <f>60-16.104</f>
        <v>43.896</v>
      </c>
      <c r="J527" s="137"/>
      <c r="K527" s="146" t="s">
        <v>125</v>
      </c>
      <c r="L527" s="113"/>
    </row>
    <row r="528" spans="1:12" s="141" customFormat="1" ht="19.5" customHeight="1">
      <c r="A528" s="86"/>
      <c r="B528" s="95"/>
      <c r="C528" s="82">
        <v>2020</v>
      </c>
      <c r="D528" s="86">
        <f t="shared" si="57"/>
        <v>0</v>
      </c>
      <c r="E528" s="131">
        <v>0</v>
      </c>
      <c r="F528" s="131"/>
      <c r="G528" s="131"/>
      <c r="H528" s="135">
        <v>0</v>
      </c>
      <c r="I528" s="86">
        <v>0</v>
      </c>
      <c r="J528" s="97"/>
      <c r="K528" s="146"/>
      <c r="L528" s="113"/>
    </row>
    <row r="529" spans="1:12" s="141" customFormat="1" ht="19.5" customHeight="1">
      <c r="A529" s="86"/>
      <c r="B529" s="95"/>
      <c r="C529" s="82">
        <v>2021</v>
      </c>
      <c r="D529" s="86">
        <f t="shared" si="57"/>
        <v>0</v>
      </c>
      <c r="E529" s="131">
        <v>0</v>
      </c>
      <c r="F529" s="131"/>
      <c r="G529" s="131"/>
      <c r="H529" s="135">
        <v>0</v>
      </c>
      <c r="I529" s="86">
        <v>0</v>
      </c>
      <c r="J529" s="97"/>
      <c r="K529" s="146"/>
      <c r="L529" s="113"/>
    </row>
    <row r="530" spans="1:12" s="141" customFormat="1" ht="19.5" customHeight="1">
      <c r="A530" s="86"/>
      <c r="B530" s="95"/>
      <c r="C530" s="82">
        <v>2022</v>
      </c>
      <c r="D530" s="86">
        <f t="shared" si="57"/>
        <v>0</v>
      </c>
      <c r="E530" s="131">
        <v>0</v>
      </c>
      <c r="F530" s="131"/>
      <c r="G530" s="131"/>
      <c r="H530" s="135">
        <v>0</v>
      </c>
      <c r="I530" s="86">
        <v>0</v>
      </c>
      <c r="J530" s="97"/>
      <c r="K530" s="146"/>
      <c r="L530" s="113"/>
    </row>
    <row r="531" spans="1:12" s="141" customFormat="1" ht="19.5" customHeight="1">
      <c r="A531" s="86"/>
      <c r="B531" s="95"/>
      <c r="C531" s="101">
        <v>2023</v>
      </c>
      <c r="D531" s="102">
        <f t="shared" si="57"/>
        <v>54.27702</v>
      </c>
      <c r="E531" s="138">
        <v>0</v>
      </c>
      <c r="F531" s="138"/>
      <c r="G531" s="138"/>
      <c r="H531" s="139">
        <v>0</v>
      </c>
      <c r="I531" s="102">
        <f>54.27702</f>
        <v>54.27702</v>
      </c>
      <c r="J531" s="97"/>
      <c r="K531" s="146" t="s">
        <v>125</v>
      </c>
      <c r="L531" s="113"/>
    </row>
    <row r="532" spans="1:12" s="141" customFormat="1" ht="19.5" customHeight="1">
      <c r="A532" s="86"/>
      <c r="B532" s="95"/>
      <c r="C532" s="82">
        <v>2024</v>
      </c>
      <c r="D532" s="86">
        <f t="shared" si="57"/>
        <v>0</v>
      </c>
      <c r="E532" s="131">
        <v>0</v>
      </c>
      <c r="F532" s="131"/>
      <c r="G532" s="131"/>
      <c r="H532" s="135">
        <v>0</v>
      </c>
      <c r="I532" s="86">
        <v>0</v>
      </c>
      <c r="J532" s="97"/>
      <c r="K532" s="146"/>
      <c r="L532" s="113"/>
    </row>
    <row r="533" spans="1:12" s="141" customFormat="1" ht="19.5" customHeight="1">
      <c r="A533" s="86"/>
      <c r="B533" s="95"/>
      <c r="C533" s="82">
        <v>2025</v>
      </c>
      <c r="D533" s="86">
        <f t="shared" si="57"/>
        <v>0</v>
      </c>
      <c r="E533" s="131">
        <v>0</v>
      </c>
      <c r="F533" s="131"/>
      <c r="G533" s="131"/>
      <c r="H533" s="135">
        <v>0</v>
      </c>
      <c r="I533" s="86">
        <v>0</v>
      </c>
      <c r="J533" s="97"/>
      <c r="K533" s="146"/>
      <c r="L533" s="113"/>
    </row>
    <row r="534" spans="1:12" s="141" customFormat="1" ht="19.5" customHeight="1">
      <c r="A534" s="86" t="s">
        <v>206</v>
      </c>
      <c r="B534" s="95" t="s">
        <v>207</v>
      </c>
      <c r="C534" s="82">
        <v>2017</v>
      </c>
      <c r="D534" s="86">
        <v>0</v>
      </c>
      <c r="E534" s="131">
        <v>0</v>
      </c>
      <c r="F534" s="131"/>
      <c r="G534" s="131"/>
      <c r="H534" s="135">
        <v>0</v>
      </c>
      <c r="I534" s="86">
        <v>0</v>
      </c>
      <c r="J534" s="97"/>
      <c r="K534" s="146"/>
      <c r="L534" s="113"/>
    </row>
    <row r="535" spans="1:12" s="141" customFormat="1" ht="19.5" customHeight="1">
      <c r="A535" s="86"/>
      <c r="B535" s="95"/>
      <c r="C535" s="82">
        <v>2018</v>
      </c>
      <c r="D535" s="86">
        <v>0</v>
      </c>
      <c r="E535" s="131">
        <v>0</v>
      </c>
      <c r="F535" s="131"/>
      <c r="G535" s="131"/>
      <c r="H535" s="135">
        <v>0</v>
      </c>
      <c r="I535" s="86">
        <v>0</v>
      </c>
      <c r="J535" s="97"/>
      <c r="K535" s="146"/>
      <c r="L535" s="113"/>
    </row>
    <row r="536" spans="1:12" s="141" customFormat="1" ht="19.5" customHeight="1">
      <c r="A536" s="86"/>
      <c r="B536" s="95"/>
      <c r="C536" s="82">
        <v>2019</v>
      </c>
      <c r="D536" s="86">
        <f aca="true" t="shared" si="58" ref="D536:D542">I536</f>
        <v>83.94</v>
      </c>
      <c r="E536" s="131">
        <v>0</v>
      </c>
      <c r="F536" s="131"/>
      <c r="G536" s="131"/>
      <c r="H536" s="135">
        <v>0</v>
      </c>
      <c r="I536" s="86">
        <v>83.94</v>
      </c>
      <c r="J536" s="97"/>
      <c r="K536" s="146" t="s">
        <v>198</v>
      </c>
      <c r="L536" s="113"/>
    </row>
    <row r="537" spans="1:12" s="141" customFormat="1" ht="19.5" customHeight="1">
      <c r="A537" s="86"/>
      <c r="B537" s="95"/>
      <c r="C537" s="82">
        <v>2020</v>
      </c>
      <c r="D537" s="86">
        <f t="shared" si="58"/>
        <v>0</v>
      </c>
      <c r="E537" s="131">
        <v>0</v>
      </c>
      <c r="F537" s="131"/>
      <c r="G537" s="131"/>
      <c r="H537" s="135">
        <v>0</v>
      </c>
      <c r="I537" s="86">
        <v>0</v>
      </c>
      <c r="J537" s="97"/>
      <c r="K537" s="146"/>
      <c r="L537" s="113"/>
    </row>
    <row r="538" spans="1:12" s="141" customFormat="1" ht="19.5" customHeight="1">
      <c r="A538" s="86"/>
      <c r="B538" s="95"/>
      <c r="C538" s="82">
        <v>2021</v>
      </c>
      <c r="D538" s="86">
        <f t="shared" si="58"/>
        <v>0</v>
      </c>
      <c r="E538" s="131">
        <v>0</v>
      </c>
      <c r="F538" s="131"/>
      <c r="G538" s="131"/>
      <c r="H538" s="135">
        <v>0</v>
      </c>
      <c r="I538" s="86">
        <v>0</v>
      </c>
      <c r="J538" s="97"/>
      <c r="K538" s="146"/>
      <c r="L538" s="113"/>
    </row>
    <row r="539" spans="1:12" s="141" customFormat="1" ht="19.5" customHeight="1">
      <c r="A539" s="86"/>
      <c r="B539" s="95"/>
      <c r="C539" s="82">
        <v>2022</v>
      </c>
      <c r="D539" s="86">
        <f t="shared" si="58"/>
        <v>0</v>
      </c>
      <c r="E539" s="131">
        <v>0</v>
      </c>
      <c r="F539" s="131"/>
      <c r="G539" s="131"/>
      <c r="H539" s="135">
        <v>0</v>
      </c>
      <c r="I539" s="86">
        <v>0</v>
      </c>
      <c r="J539" s="97"/>
      <c r="K539" s="146"/>
      <c r="L539" s="113"/>
    </row>
    <row r="540" spans="1:12" s="141" customFormat="1" ht="19.5" customHeight="1">
      <c r="A540" s="86"/>
      <c r="B540" s="95"/>
      <c r="C540" s="82">
        <v>2023</v>
      </c>
      <c r="D540" s="86">
        <f t="shared" si="58"/>
        <v>0</v>
      </c>
      <c r="E540" s="131">
        <v>0</v>
      </c>
      <c r="F540" s="131"/>
      <c r="G540" s="131"/>
      <c r="H540" s="135">
        <v>0</v>
      </c>
      <c r="I540" s="86">
        <v>0</v>
      </c>
      <c r="J540" s="97"/>
      <c r="K540" s="146"/>
      <c r="L540" s="113"/>
    </row>
    <row r="541" spans="1:12" s="141" customFormat="1" ht="19.5" customHeight="1">
      <c r="A541" s="86"/>
      <c r="B541" s="95"/>
      <c r="C541" s="82">
        <v>2024</v>
      </c>
      <c r="D541" s="86">
        <f t="shared" si="58"/>
        <v>0</v>
      </c>
      <c r="E541" s="131">
        <v>0</v>
      </c>
      <c r="F541" s="131"/>
      <c r="G541" s="131"/>
      <c r="H541" s="135">
        <v>0</v>
      </c>
      <c r="I541" s="86">
        <v>0</v>
      </c>
      <c r="J541" s="97"/>
      <c r="K541" s="146"/>
      <c r="L541" s="113"/>
    </row>
    <row r="542" spans="1:12" s="141" customFormat="1" ht="19.5" customHeight="1">
      <c r="A542" s="86"/>
      <c r="B542" s="95"/>
      <c r="C542" s="82">
        <v>2025</v>
      </c>
      <c r="D542" s="86">
        <f t="shared" si="58"/>
        <v>0</v>
      </c>
      <c r="E542" s="131">
        <v>0</v>
      </c>
      <c r="F542" s="131"/>
      <c r="G542" s="131"/>
      <c r="H542" s="135">
        <v>0</v>
      </c>
      <c r="I542" s="86">
        <v>0</v>
      </c>
      <c r="J542" s="97"/>
      <c r="K542" s="146"/>
      <c r="L542" s="113"/>
    </row>
    <row r="543" spans="1:12" s="141" customFormat="1" ht="19.5" customHeight="1">
      <c r="A543" s="86" t="s">
        <v>208</v>
      </c>
      <c r="B543" s="95" t="s">
        <v>209</v>
      </c>
      <c r="C543" s="82">
        <v>2017</v>
      </c>
      <c r="D543" s="86">
        <v>0</v>
      </c>
      <c r="E543" s="131">
        <v>0</v>
      </c>
      <c r="F543" s="131"/>
      <c r="G543" s="131"/>
      <c r="H543" s="135">
        <v>0</v>
      </c>
      <c r="I543" s="86">
        <v>0</v>
      </c>
      <c r="J543" s="97"/>
      <c r="K543" s="146"/>
      <c r="L543" s="113"/>
    </row>
    <row r="544" spans="1:12" s="141" customFormat="1" ht="19.5" customHeight="1">
      <c r="A544" s="86"/>
      <c r="B544" s="95"/>
      <c r="C544" s="82">
        <v>2018</v>
      </c>
      <c r="D544" s="86">
        <v>0</v>
      </c>
      <c r="E544" s="131">
        <v>0</v>
      </c>
      <c r="F544" s="131"/>
      <c r="G544" s="131"/>
      <c r="H544" s="135">
        <v>0</v>
      </c>
      <c r="I544" s="86">
        <v>0</v>
      </c>
      <c r="J544" s="97"/>
      <c r="K544" s="146"/>
      <c r="L544" s="113"/>
    </row>
    <row r="545" spans="1:12" s="141" customFormat="1" ht="19.5" customHeight="1">
      <c r="A545" s="86"/>
      <c r="B545" s="95"/>
      <c r="C545" s="82">
        <v>2019</v>
      </c>
      <c r="D545" s="86">
        <f aca="true" t="shared" si="59" ref="D545:D551">I545</f>
        <v>319.93</v>
      </c>
      <c r="E545" s="131">
        <v>0</v>
      </c>
      <c r="F545" s="131"/>
      <c r="G545" s="131"/>
      <c r="H545" s="135">
        <v>0</v>
      </c>
      <c r="I545" s="86">
        <f>50+210+100-0.029-0.041-40</f>
        <v>319.93</v>
      </c>
      <c r="J545" s="97"/>
      <c r="K545" s="146" t="s">
        <v>184</v>
      </c>
      <c r="L545" s="113"/>
    </row>
    <row r="546" spans="1:12" s="141" customFormat="1" ht="19.5" customHeight="1">
      <c r="A546" s="86"/>
      <c r="B546" s="95"/>
      <c r="C546" s="82">
        <v>2020</v>
      </c>
      <c r="D546" s="86">
        <f t="shared" si="59"/>
        <v>0</v>
      </c>
      <c r="E546" s="131">
        <v>0</v>
      </c>
      <c r="F546" s="131"/>
      <c r="G546" s="131"/>
      <c r="H546" s="135">
        <v>0</v>
      </c>
      <c r="I546" s="86">
        <v>0</v>
      </c>
      <c r="J546" s="97"/>
      <c r="K546" s="146"/>
      <c r="L546" s="113"/>
    </row>
    <row r="547" spans="1:12" s="141" customFormat="1" ht="19.5" customHeight="1">
      <c r="A547" s="86"/>
      <c r="B547" s="95"/>
      <c r="C547" s="82">
        <v>2021</v>
      </c>
      <c r="D547" s="86">
        <f t="shared" si="59"/>
        <v>0</v>
      </c>
      <c r="E547" s="131">
        <v>0</v>
      </c>
      <c r="F547" s="131"/>
      <c r="G547" s="131"/>
      <c r="H547" s="135">
        <v>0</v>
      </c>
      <c r="I547" s="86">
        <v>0</v>
      </c>
      <c r="J547" s="97"/>
      <c r="K547" s="146"/>
      <c r="L547" s="113"/>
    </row>
    <row r="548" spans="1:12" s="141" customFormat="1" ht="19.5" customHeight="1">
      <c r="A548" s="86"/>
      <c r="B548" s="95"/>
      <c r="C548" s="82">
        <v>2022</v>
      </c>
      <c r="D548" s="86">
        <f t="shared" si="59"/>
        <v>0</v>
      </c>
      <c r="E548" s="131">
        <v>0</v>
      </c>
      <c r="F548" s="131"/>
      <c r="G548" s="131"/>
      <c r="H548" s="135">
        <v>0</v>
      </c>
      <c r="I548" s="86">
        <v>0</v>
      </c>
      <c r="J548" s="97"/>
      <c r="K548" s="146"/>
      <c r="L548" s="113"/>
    </row>
    <row r="549" spans="1:12" s="141" customFormat="1" ht="19.5" customHeight="1">
      <c r="A549" s="86"/>
      <c r="B549" s="95"/>
      <c r="C549" s="82">
        <v>2023</v>
      </c>
      <c r="D549" s="86">
        <f t="shared" si="59"/>
        <v>0</v>
      </c>
      <c r="E549" s="131">
        <v>0</v>
      </c>
      <c r="F549" s="131"/>
      <c r="G549" s="131"/>
      <c r="H549" s="135">
        <v>0</v>
      </c>
      <c r="I549" s="86">
        <v>0</v>
      </c>
      <c r="J549" s="97"/>
      <c r="K549" s="146"/>
      <c r="L549" s="113"/>
    </row>
    <row r="550" spans="1:12" s="141" customFormat="1" ht="19.5" customHeight="1">
      <c r="A550" s="86"/>
      <c r="B550" s="95"/>
      <c r="C550" s="82">
        <v>2024</v>
      </c>
      <c r="D550" s="86">
        <f t="shared" si="59"/>
        <v>0</v>
      </c>
      <c r="E550" s="131">
        <v>0</v>
      </c>
      <c r="F550" s="131"/>
      <c r="G550" s="131"/>
      <c r="H550" s="135">
        <v>0</v>
      </c>
      <c r="I550" s="86">
        <v>0</v>
      </c>
      <c r="J550" s="97"/>
      <c r="K550" s="146"/>
      <c r="L550" s="113"/>
    </row>
    <row r="551" spans="1:12" s="141" customFormat="1" ht="19.5" customHeight="1">
      <c r="A551" s="86"/>
      <c r="B551" s="95"/>
      <c r="C551" s="82">
        <v>2025</v>
      </c>
      <c r="D551" s="86">
        <f t="shared" si="59"/>
        <v>0</v>
      </c>
      <c r="E551" s="131">
        <v>0</v>
      </c>
      <c r="F551" s="131"/>
      <c r="G551" s="131"/>
      <c r="H551" s="135">
        <v>0</v>
      </c>
      <c r="I551" s="86">
        <v>0</v>
      </c>
      <c r="J551" s="97"/>
      <c r="K551" s="146"/>
      <c r="L551" s="113"/>
    </row>
    <row r="552" spans="1:12" s="141" customFormat="1" ht="19.5" customHeight="1">
      <c r="A552" s="86" t="s">
        <v>210</v>
      </c>
      <c r="B552" s="95" t="s">
        <v>211</v>
      </c>
      <c r="C552" s="82">
        <v>2017</v>
      </c>
      <c r="D552" s="86">
        <v>0</v>
      </c>
      <c r="E552" s="131">
        <v>0</v>
      </c>
      <c r="F552" s="131"/>
      <c r="G552" s="131"/>
      <c r="H552" s="135">
        <v>0</v>
      </c>
      <c r="I552" s="86">
        <v>0</v>
      </c>
      <c r="J552" s="97"/>
      <c r="K552" s="146"/>
      <c r="L552" s="113"/>
    </row>
    <row r="553" spans="1:12" s="141" customFormat="1" ht="19.5" customHeight="1">
      <c r="A553" s="86"/>
      <c r="B553" s="95"/>
      <c r="C553" s="82">
        <v>2018</v>
      </c>
      <c r="D553" s="86">
        <v>0</v>
      </c>
      <c r="E553" s="131">
        <v>0</v>
      </c>
      <c r="F553" s="131"/>
      <c r="G553" s="131"/>
      <c r="H553" s="135">
        <v>0</v>
      </c>
      <c r="I553" s="86">
        <v>0</v>
      </c>
      <c r="J553" s="97"/>
      <c r="K553" s="146"/>
      <c r="L553" s="113"/>
    </row>
    <row r="554" spans="1:12" s="141" customFormat="1" ht="19.5" customHeight="1">
      <c r="A554" s="86"/>
      <c r="B554" s="95"/>
      <c r="C554" s="82">
        <v>2019</v>
      </c>
      <c r="D554" s="86">
        <f aca="true" t="shared" si="60" ref="D554:D560">I554</f>
        <v>39.9</v>
      </c>
      <c r="E554" s="131">
        <v>0</v>
      </c>
      <c r="F554" s="131"/>
      <c r="G554" s="131"/>
      <c r="H554" s="135">
        <v>0</v>
      </c>
      <c r="I554" s="86">
        <f>40-0.1</f>
        <v>39.9</v>
      </c>
      <c r="J554" s="97"/>
      <c r="K554" s="146" t="s">
        <v>184</v>
      </c>
      <c r="L554" s="113"/>
    </row>
    <row r="555" spans="1:12" s="141" customFormat="1" ht="19.5" customHeight="1">
      <c r="A555" s="86"/>
      <c r="B555" s="95"/>
      <c r="C555" s="82">
        <v>2020</v>
      </c>
      <c r="D555" s="86">
        <f t="shared" si="60"/>
        <v>0</v>
      </c>
      <c r="E555" s="131">
        <v>0</v>
      </c>
      <c r="F555" s="131"/>
      <c r="G555" s="131"/>
      <c r="H555" s="135">
        <v>0</v>
      </c>
      <c r="I555" s="86">
        <v>0</v>
      </c>
      <c r="J555" s="97"/>
      <c r="K555" s="146"/>
      <c r="L555" s="113"/>
    </row>
    <row r="556" spans="1:12" s="141" customFormat="1" ht="19.5" customHeight="1">
      <c r="A556" s="86"/>
      <c r="B556" s="95"/>
      <c r="C556" s="82">
        <v>2021</v>
      </c>
      <c r="D556" s="86">
        <f t="shared" si="60"/>
        <v>0</v>
      </c>
      <c r="E556" s="131">
        <v>0</v>
      </c>
      <c r="F556" s="131"/>
      <c r="G556" s="131"/>
      <c r="H556" s="135">
        <v>0</v>
      </c>
      <c r="I556" s="86">
        <v>0</v>
      </c>
      <c r="J556" s="97"/>
      <c r="K556" s="146"/>
      <c r="L556" s="113"/>
    </row>
    <row r="557" spans="1:12" s="141" customFormat="1" ht="19.5" customHeight="1">
      <c r="A557" s="86"/>
      <c r="B557" s="95"/>
      <c r="C557" s="82">
        <v>2022</v>
      </c>
      <c r="D557" s="86">
        <f t="shared" si="60"/>
        <v>0</v>
      </c>
      <c r="E557" s="131">
        <v>0</v>
      </c>
      <c r="F557" s="131"/>
      <c r="G557" s="131"/>
      <c r="H557" s="135">
        <v>0</v>
      </c>
      <c r="I557" s="86">
        <v>0</v>
      </c>
      <c r="J557" s="97"/>
      <c r="K557" s="146"/>
      <c r="L557" s="113"/>
    </row>
    <row r="558" spans="1:12" s="141" customFormat="1" ht="19.5" customHeight="1">
      <c r="A558" s="86"/>
      <c r="B558" s="95"/>
      <c r="C558" s="82">
        <v>2023</v>
      </c>
      <c r="D558" s="86">
        <f t="shared" si="60"/>
        <v>0</v>
      </c>
      <c r="E558" s="131">
        <v>0</v>
      </c>
      <c r="F558" s="131"/>
      <c r="G558" s="131"/>
      <c r="H558" s="135">
        <v>0</v>
      </c>
      <c r="I558" s="86">
        <v>0</v>
      </c>
      <c r="J558" s="97"/>
      <c r="K558" s="146"/>
      <c r="L558" s="113"/>
    </row>
    <row r="559" spans="1:12" s="141" customFormat="1" ht="19.5" customHeight="1">
      <c r="A559" s="86"/>
      <c r="B559" s="95"/>
      <c r="C559" s="82">
        <v>2024</v>
      </c>
      <c r="D559" s="86">
        <f t="shared" si="60"/>
        <v>0</v>
      </c>
      <c r="E559" s="131">
        <v>0</v>
      </c>
      <c r="F559" s="131"/>
      <c r="G559" s="131"/>
      <c r="H559" s="135">
        <v>0</v>
      </c>
      <c r="I559" s="86">
        <v>0</v>
      </c>
      <c r="J559" s="97"/>
      <c r="K559" s="146"/>
      <c r="L559" s="113"/>
    </row>
    <row r="560" spans="1:12" s="141" customFormat="1" ht="19.5" customHeight="1">
      <c r="A560" s="86"/>
      <c r="B560" s="95"/>
      <c r="C560" s="82">
        <v>2025</v>
      </c>
      <c r="D560" s="86">
        <f t="shared" si="60"/>
        <v>0</v>
      </c>
      <c r="E560" s="131">
        <v>0</v>
      </c>
      <c r="F560" s="131"/>
      <c r="G560" s="131"/>
      <c r="H560" s="135">
        <v>0</v>
      </c>
      <c r="I560" s="86">
        <v>0</v>
      </c>
      <c r="J560" s="97"/>
      <c r="K560" s="146"/>
      <c r="L560" s="113"/>
    </row>
    <row r="561" spans="1:12" s="141" customFormat="1" ht="19.5" customHeight="1">
      <c r="A561" s="86" t="s">
        <v>212</v>
      </c>
      <c r="B561" s="95" t="s">
        <v>213</v>
      </c>
      <c r="C561" s="82">
        <v>2017</v>
      </c>
      <c r="D561" s="86">
        <v>0</v>
      </c>
      <c r="E561" s="131">
        <v>0</v>
      </c>
      <c r="F561" s="131"/>
      <c r="G561" s="131"/>
      <c r="H561" s="135">
        <v>0</v>
      </c>
      <c r="I561" s="86">
        <v>0</v>
      </c>
      <c r="J561" s="97"/>
      <c r="K561" s="146"/>
      <c r="L561" s="113"/>
    </row>
    <row r="562" spans="1:12" s="141" customFormat="1" ht="19.5" customHeight="1">
      <c r="A562" s="86"/>
      <c r="B562" s="95"/>
      <c r="C562" s="82">
        <v>2018</v>
      </c>
      <c r="D562" s="86">
        <v>0</v>
      </c>
      <c r="E562" s="131">
        <v>0</v>
      </c>
      <c r="F562" s="131"/>
      <c r="G562" s="131"/>
      <c r="H562" s="135">
        <v>0</v>
      </c>
      <c r="I562" s="86">
        <v>0</v>
      </c>
      <c r="J562" s="97"/>
      <c r="K562" s="146"/>
      <c r="L562" s="113"/>
    </row>
    <row r="563" spans="1:12" s="141" customFormat="1" ht="19.5" customHeight="1">
      <c r="A563" s="86"/>
      <c r="B563" s="95"/>
      <c r="C563" s="82">
        <v>2019</v>
      </c>
      <c r="D563" s="86">
        <f aca="true" t="shared" si="61" ref="D563:D569">I563</f>
        <v>99.891</v>
      </c>
      <c r="E563" s="131">
        <v>0</v>
      </c>
      <c r="F563" s="131"/>
      <c r="G563" s="131"/>
      <c r="H563" s="135">
        <v>0</v>
      </c>
      <c r="I563" s="86">
        <f>100-0.109</f>
        <v>99.891</v>
      </c>
      <c r="J563" s="97"/>
      <c r="K563" s="146" t="s">
        <v>184</v>
      </c>
      <c r="L563" s="113"/>
    </row>
    <row r="564" spans="1:12" s="141" customFormat="1" ht="19.5" customHeight="1">
      <c r="A564" s="86"/>
      <c r="B564" s="95"/>
      <c r="C564" s="82">
        <v>2020</v>
      </c>
      <c r="D564" s="86">
        <f t="shared" si="61"/>
        <v>0</v>
      </c>
      <c r="E564" s="131">
        <v>0</v>
      </c>
      <c r="F564" s="131"/>
      <c r="G564" s="131"/>
      <c r="H564" s="135">
        <v>0</v>
      </c>
      <c r="I564" s="86">
        <v>0</v>
      </c>
      <c r="J564" s="97"/>
      <c r="K564" s="146"/>
      <c r="L564" s="113"/>
    </row>
    <row r="565" spans="1:12" s="141" customFormat="1" ht="19.5" customHeight="1">
      <c r="A565" s="86"/>
      <c r="B565" s="95"/>
      <c r="C565" s="82">
        <v>2021</v>
      </c>
      <c r="D565" s="86">
        <f t="shared" si="61"/>
        <v>0</v>
      </c>
      <c r="E565" s="131">
        <v>0</v>
      </c>
      <c r="F565" s="131"/>
      <c r="G565" s="131"/>
      <c r="H565" s="135">
        <v>0</v>
      </c>
      <c r="I565" s="86">
        <v>0</v>
      </c>
      <c r="J565" s="97"/>
      <c r="K565" s="146"/>
      <c r="L565" s="113"/>
    </row>
    <row r="566" spans="1:12" s="141" customFormat="1" ht="19.5" customHeight="1">
      <c r="A566" s="86"/>
      <c r="B566" s="95"/>
      <c r="C566" s="82">
        <v>2022</v>
      </c>
      <c r="D566" s="86">
        <f t="shared" si="61"/>
        <v>0</v>
      </c>
      <c r="E566" s="131">
        <v>0</v>
      </c>
      <c r="F566" s="131"/>
      <c r="G566" s="131"/>
      <c r="H566" s="135">
        <v>0</v>
      </c>
      <c r="I566" s="86">
        <v>0</v>
      </c>
      <c r="J566" s="97"/>
      <c r="K566" s="146"/>
      <c r="L566" s="113"/>
    </row>
    <row r="567" spans="1:12" s="141" customFormat="1" ht="19.5" customHeight="1">
      <c r="A567" s="86"/>
      <c r="B567" s="95"/>
      <c r="C567" s="82">
        <v>2023</v>
      </c>
      <c r="D567" s="86">
        <f t="shared" si="61"/>
        <v>0</v>
      </c>
      <c r="E567" s="131">
        <v>0</v>
      </c>
      <c r="F567" s="131"/>
      <c r="G567" s="131"/>
      <c r="H567" s="135">
        <v>0</v>
      </c>
      <c r="I567" s="86">
        <v>0</v>
      </c>
      <c r="J567" s="97"/>
      <c r="K567" s="146"/>
      <c r="L567" s="113"/>
    </row>
    <row r="568" spans="1:12" s="141" customFormat="1" ht="19.5" customHeight="1">
      <c r="A568" s="86"/>
      <c r="B568" s="95"/>
      <c r="C568" s="82">
        <v>2024</v>
      </c>
      <c r="D568" s="86">
        <f t="shared" si="61"/>
        <v>0</v>
      </c>
      <c r="E568" s="131">
        <v>0</v>
      </c>
      <c r="F568" s="131"/>
      <c r="G568" s="131"/>
      <c r="H568" s="135">
        <v>0</v>
      </c>
      <c r="I568" s="86">
        <v>0</v>
      </c>
      <c r="J568" s="97"/>
      <c r="K568" s="146"/>
      <c r="L568" s="113"/>
    </row>
    <row r="569" spans="1:12" s="141" customFormat="1" ht="19.5" customHeight="1">
      <c r="A569" s="86"/>
      <c r="B569" s="95"/>
      <c r="C569" s="82">
        <v>2025</v>
      </c>
      <c r="D569" s="86">
        <f t="shared" si="61"/>
        <v>0</v>
      </c>
      <c r="E569" s="131">
        <v>0</v>
      </c>
      <c r="F569" s="131"/>
      <c r="G569" s="131"/>
      <c r="H569" s="135">
        <v>0</v>
      </c>
      <c r="I569" s="86">
        <v>0</v>
      </c>
      <c r="J569" s="97"/>
      <c r="K569" s="146"/>
      <c r="L569" s="113"/>
    </row>
    <row r="570" spans="1:12" s="141" customFormat="1" ht="19.5" customHeight="1">
      <c r="A570" s="86" t="s">
        <v>214</v>
      </c>
      <c r="B570" s="95" t="s">
        <v>215</v>
      </c>
      <c r="C570" s="82">
        <v>2017</v>
      </c>
      <c r="D570" s="86">
        <v>0</v>
      </c>
      <c r="E570" s="131">
        <v>0</v>
      </c>
      <c r="F570" s="131"/>
      <c r="G570" s="131"/>
      <c r="H570" s="135">
        <v>0</v>
      </c>
      <c r="I570" s="86">
        <v>0</v>
      </c>
      <c r="J570" s="97"/>
      <c r="K570" s="146"/>
      <c r="L570" s="113"/>
    </row>
    <row r="571" spans="1:12" s="141" customFormat="1" ht="19.5" customHeight="1">
      <c r="A571" s="86"/>
      <c r="B571" s="95"/>
      <c r="C571" s="82">
        <v>2018</v>
      </c>
      <c r="D571" s="86">
        <v>0</v>
      </c>
      <c r="E571" s="131">
        <v>0</v>
      </c>
      <c r="F571" s="131"/>
      <c r="G571" s="131"/>
      <c r="H571" s="135">
        <v>0</v>
      </c>
      <c r="I571" s="86">
        <v>0</v>
      </c>
      <c r="J571" s="97"/>
      <c r="K571" s="146"/>
      <c r="L571" s="113"/>
    </row>
    <row r="572" spans="1:12" s="141" customFormat="1" ht="19.5" customHeight="1">
      <c r="A572" s="86"/>
      <c r="B572" s="95"/>
      <c r="C572" s="82">
        <v>2019</v>
      </c>
      <c r="D572" s="86">
        <f aca="true" t="shared" si="62" ref="D572:D578">I572</f>
        <v>59.927</v>
      </c>
      <c r="E572" s="131">
        <v>0</v>
      </c>
      <c r="F572" s="131"/>
      <c r="G572" s="131"/>
      <c r="H572" s="135">
        <v>0</v>
      </c>
      <c r="I572" s="86">
        <f>60-0.073</f>
        <v>59.927</v>
      </c>
      <c r="J572" s="97"/>
      <c r="K572" s="146" t="s">
        <v>100</v>
      </c>
      <c r="L572" s="113"/>
    </row>
    <row r="573" spans="1:12" s="141" customFormat="1" ht="19.5" customHeight="1">
      <c r="A573" s="86"/>
      <c r="B573" s="95"/>
      <c r="C573" s="82">
        <v>2020</v>
      </c>
      <c r="D573" s="86">
        <f t="shared" si="62"/>
        <v>0</v>
      </c>
      <c r="E573" s="131">
        <v>0</v>
      </c>
      <c r="F573" s="131"/>
      <c r="G573" s="131"/>
      <c r="H573" s="135">
        <v>0</v>
      </c>
      <c r="I573" s="86">
        <v>0</v>
      </c>
      <c r="J573" s="97"/>
      <c r="K573" s="146"/>
      <c r="L573" s="113"/>
    </row>
    <row r="574" spans="1:12" s="141" customFormat="1" ht="19.5" customHeight="1">
      <c r="A574" s="86"/>
      <c r="B574" s="95"/>
      <c r="C574" s="82">
        <v>2021</v>
      </c>
      <c r="D574" s="86">
        <f t="shared" si="62"/>
        <v>0</v>
      </c>
      <c r="E574" s="131">
        <v>0</v>
      </c>
      <c r="F574" s="131"/>
      <c r="G574" s="131"/>
      <c r="H574" s="135">
        <v>0</v>
      </c>
      <c r="I574" s="86">
        <v>0</v>
      </c>
      <c r="J574" s="97"/>
      <c r="K574" s="146"/>
      <c r="L574" s="113"/>
    </row>
    <row r="575" spans="1:12" s="141" customFormat="1" ht="19.5" customHeight="1">
      <c r="A575" s="86"/>
      <c r="B575" s="95"/>
      <c r="C575" s="82">
        <v>2022</v>
      </c>
      <c r="D575" s="86">
        <f t="shared" si="62"/>
        <v>0</v>
      </c>
      <c r="E575" s="131">
        <v>0</v>
      </c>
      <c r="F575" s="131"/>
      <c r="G575" s="131"/>
      <c r="H575" s="135">
        <v>0</v>
      </c>
      <c r="I575" s="86">
        <v>0</v>
      </c>
      <c r="J575" s="97"/>
      <c r="K575" s="146"/>
      <c r="L575" s="113"/>
    </row>
    <row r="576" spans="1:12" s="141" customFormat="1" ht="19.5" customHeight="1">
      <c r="A576" s="86"/>
      <c r="B576" s="95"/>
      <c r="C576" s="82">
        <v>2023</v>
      </c>
      <c r="D576" s="86">
        <f t="shared" si="62"/>
        <v>0</v>
      </c>
      <c r="E576" s="131">
        <v>0</v>
      </c>
      <c r="F576" s="131"/>
      <c r="G576" s="131"/>
      <c r="H576" s="135">
        <v>0</v>
      </c>
      <c r="I576" s="86">
        <v>0</v>
      </c>
      <c r="J576" s="97"/>
      <c r="K576" s="146"/>
      <c r="L576" s="113"/>
    </row>
    <row r="577" spans="1:12" s="141" customFormat="1" ht="19.5" customHeight="1">
      <c r="A577" s="86"/>
      <c r="B577" s="95"/>
      <c r="C577" s="82">
        <v>2024</v>
      </c>
      <c r="D577" s="86">
        <f t="shared" si="62"/>
        <v>0</v>
      </c>
      <c r="E577" s="131">
        <v>0</v>
      </c>
      <c r="F577" s="131"/>
      <c r="G577" s="131"/>
      <c r="H577" s="135">
        <v>0</v>
      </c>
      <c r="I577" s="86">
        <v>0</v>
      </c>
      <c r="J577" s="97"/>
      <c r="K577" s="146"/>
      <c r="L577" s="113"/>
    </row>
    <row r="578" spans="1:12" s="141" customFormat="1" ht="19.5" customHeight="1">
      <c r="A578" s="86"/>
      <c r="B578" s="95"/>
      <c r="C578" s="82">
        <v>2025</v>
      </c>
      <c r="D578" s="86">
        <f t="shared" si="62"/>
        <v>0</v>
      </c>
      <c r="E578" s="131">
        <v>0</v>
      </c>
      <c r="F578" s="131"/>
      <c r="G578" s="131"/>
      <c r="H578" s="135">
        <v>0</v>
      </c>
      <c r="I578" s="86">
        <v>0</v>
      </c>
      <c r="J578" s="97"/>
      <c r="K578" s="146"/>
      <c r="L578" s="113"/>
    </row>
    <row r="579" spans="1:12" s="141" customFormat="1" ht="19.5" customHeight="1">
      <c r="A579" s="150" t="s">
        <v>216</v>
      </c>
      <c r="B579" s="95" t="s">
        <v>217</v>
      </c>
      <c r="C579" s="82">
        <v>2017</v>
      </c>
      <c r="D579" s="86">
        <v>0</v>
      </c>
      <c r="E579" s="131">
        <v>0</v>
      </c>
      <c r="F579" s="131"/>
      <c r="G579" s="131"/>
      <c r="H579" s="135">
        <v>0</v>
      </c>
      <c r="I579" s="86">
        <v>0</v>
      </c>
      <c r="J579" s="97"/>
      <c r="K579" s="146"/>
      <c r="L579" s="113"/>
    </row>
    <row r="580" spans="1:12" s="141" customFormat="1" ht="19.5" customHeight="1">
      <c r="A580" s="150"/>
      <c r="B580" s="95"/>
      <c r="C580" s="82">
        <v>2018</v>
      </c>
      <c r="D580" s="86">
        <v>0</v>
      </c>
      <c r="E580" s="131">
        <v>0</v>
      </c>
      <c r="F580" s="131"/>
      <c r="G580" s="131"/>
      <c r="H580" s="135">
        <v>0</v>
      </c>
      <c r="I580" s="86">
        <v>0</v>
      </c>
      <c r="J580" s="97"/>
      <c r="K580" s="146"/>
      <c r="L580" s="113"/>
    </row>
    <row r="581" spans="1:12" s="141" customFormat="1" ht="19.5" customHeight="1">
      <c r="A581" s="150"/>
      <c r="B581" s="95"/>
      <c r="C581" s="82">
        <v>2019</v>
      </c>
      <c r="D581" s="86">
        <f aca="true" t="shared" si="63" ref="D581:D587">I581</f>
        <v>90</v>
      </c>
      <c r="E581" s="131">
        <v>0</v>
      </c>
      <c r="F581" s="131"/>
      <c r="G581" s="131"/>
      <c r="H581" s="135">
        <v>0</v>
      </c>
      <c r="I581" s="86">
        <f>30+60</f>
        <v>90</v>
      </c>
      <c r="J581" s="97"/>
      <c r="K581" s="146" t="s">
        <v>218</v>
      </c>
      <c r="L581" s="113"/>
    </row>
    <row r="582" spans="1:12" s="141" customFormat="1" ht="19.5" customHeight="1">
      <c r="A582" s="150"/>
      <c r="B582" s="95"/>
      <c r="C582" s="82">
        <v>2020</v>
      </c>
      <c r="D582" s="86">
        <f t="shared" si="63"/>
        <v>0</v>
      </c>
      <c r="E582" s="131">
        <v>0</v>
      </c>
      <c r="F582" s="131"/>
      <c r="G582" s="131"/>
      <c r="H582" s="135">
        <v>0</v>
      </c>
      <c r="I582" s="86">
        <v>0</v>
      </c>
      <c r="J582" s="97"/>
      <c r="K582" s="146"/>
      <c r="L582" s="113"/>
    </row>
    <row r="583" spans="1:12" s="141" customFormat="1" ht="19.5" customHeight="1">
      <c r="A583" s="150"/>
      <c r="B583" s="95"/>
      <c r="C583" s="82">
        <v>2021</v>
      </c>
      <c r="D583" s="86">
        <f t="shared" si="63"/>
        <v>0</v>
      </c>
      <c r="E583" s="131">
        <v>0</v>
      </c>
      <c r="F583" s="131"/>
      <c r="G583" s="131"/>
      <c r="H583" s="135">
        <v>0</v>
      </c>
      <c r="I583" s="86">
        <v>0</v>
      </c>
      <c r="J583" s="97"/>
      <c r="K583" s="146"/>
      <c r="L583" s="113"/>
    </row>
    <row r="584" spans="1:12" s="141" customFormat="1" ht="19.5" customHeight="1">
      <c r="A584" s="150"/>
      <c r="B584" s="95"/>
      <c r="C584" s="82">
        <v>2022</v>
      </c>
      <c r="D584" s="86">
        <f t="shared" si="63"/>
        <v>0</v>
      </c>
      <c r="E584" s="131">
        <v>0</v>
      </c>
      <c r="F584" s="131"/>
      <c r="G584" s="131"/>
      <c r="H584" s="135">
        <v>0</v>
      </c>
      <c r="I584" s="86">
        <v>0</v>
      </c>
      <c r="J584" s="97"/>
      <c r="K584" s="146"/>
      <c r="L584" s="113"/>
    </row>
    <row r="585" spans="1:12" s="141" customFormat="1" ht="19.5" customHeight="1">
      <c r="A585" s="150"/>
      <c r="B585" s="95"/>
      <c r="C585" s="82">
        <v>2023</v>
      </c>
      <c r="D585" s="86">
        <f t="shared" si="63"/>
        <v>0</v>
      </c>
      <c r="E585" s="131">
        <v>0</v>
      </c>
      <c r="F585" s="131"/>
      <c r="G585" s="131"/>
      <c r="H585" s="135">
        <v>0</v>
      </c>
      <c r="I585" s="86">
        <v>0</v>
      </c>
      <c r="J585" s="97"/>
      <c r="K585" s="146"/>
      <c r="L585" s="113"/>
    </row>
    <row r="586" spans="1:12" s="141" customFormat="1" ht="19.5" customHeight="1">
      <c r="A586" s="150"/>
      <c r="B586" s="95"/>
      <c r="C586" s="82">
        <v>2024</v>
      </c>
      <c r="D586" s="86">
        <f t="shared" si="63"/>
        <v>0</v>
      </c>
      <c r="E586" s="131">
        <v>0</v>
      </c>
      <c r="F586" s="131"/>
      <c r="G586" s="131"/>
      <c r="H586" s="135">
        <v>0</v>
      </c>
      <c r="I586" s="86">
        <v>0</v>
      </c>
      <c r="J586" s="97"/>
      <c r="K586" s="146"/>
      <c r="L586" s="113"/>
    </row>
    <row r="587" spans="1:12" s="141" customFormat="1" ht="19.5" customHeight="1">
      <c r="A587" s="150"/>
      <c r="B587" s="95"/>
      <c r="C587" s="82">
        <v>2025</v>
      </c>
      <c r="D587" s="86">
        <f t="shared" si="63"/>
        <v>0</v>
      </c>
      <c r="E587" s="131">
        <v>0</v>
      </c>
      <c r="F587" s="131"/>
      <c r="G587" s="131"/>
      <c r="H587" s="135">
        <v>0</v>
      </c>
      <c r="I587" s="86">
        <v>0</v>
      </c>
      <c r="J587" s="97"/>
      <c r="K587" s="146"/>
      <c r="L587" s="113"/>
    </row>
    <row r="588" spans="1:12" s="141" customFormat="1" ht="19.5" customHeight="1">
      <c r="A588" s="150" t="s">
        <v>219</v>
      </c>
      <c r="B588" s="95" t="s">
        <v>220</v>
      </c>
      <c r="C588" s="82">
        <v>2017</v>
      </c>
      <c r="D588" s="86">
        <v>0</v>
      </c>
      <c r="E588" s="131">
        <v>0</v>
      </c>
      <c r="F588" s="131"/>
      <c r="G588" s="131"/>
      <c r="H588" s="135">
        <v>0</v>
      </c>
      <c r="I588" s="86">
        <v>0</v>
      </c>
      <c r="J588" s="97"/>
      <c r="K588" s="146"/>
      <c r="L588" s="113"/>
    </row>
    <row r="589" spans="1:12" s="141" customFormat="1" ht="19.5" customHeight="1">
      <c r="A589" s="150"/>
      <c r="B589" s="95"/>
      <c r="C589" s="82">
        <v>2018</v>
      </c>
      <c r="D589" s="86">
        <v>0</v>
      </c>
      <c r="E589" s="131">
        <v>0</v>
      </c>
      <c r="F589" s="131"/>
      <c r="G589" s="131"/>
      <c r="H589" s="135">
        <v>0</v>
      </c>
      <c r="I589" s="86">
        <v>0</v>
      </c>
      <c r="J589" s="97"/>
      <c r="K589" s="146"/>
      <c r="L589" s="113"/>
    </row>
    <row r="590" spans="1:12" s="141" customFormat="1" ht="19.5" customHeight="1">
      <c r="A590" s="150"/>
      <c r="B590" s="95"/>
      <c r="C590" s="82">
        <v>2019</v>
      </c>
      <c r="D590" s="86">
        <f aca="true" t="shared" si="64" ref="D590:D596">I590</f>
        <v>221.458</v>
      </c>
      <c r="E590" s="131">
        <v>0</v>
      </c>
      <c r="F590" s="131"/>
      <c r="G590" s="131"/>
      <c r="H590" s="135">
        <v>0</v>
      </c>
      <c r="I590" s="86">
        <f>223-1.542</f>
        <v>221.458</v>
      </c>
      <c r="J590" s="97"/>
      <c r="K590" s="146" t="s">
        <v>184</v>
      </c>
      <c r="L590" s="113"/>
    </row>
    <row r="591" spans="1:12" s="141" customFormat="1" ht="19.5" customHeight="1">
      <c r="A591" s="150"/>
      <c r="B591" s="95"/>
      <c r="C591" s="82">
        <v>2020</v>
      </c>
      <c r="D591" s="86">
        <f t="shared" si="64"/>
        <v>0</v>
      </c>
      <c r="E591" s="131">
        <v>0</v>
      </c>
      <c r="F591" s="131"/>
      <c r="G591" s="131"/>
      <c r="H591" s="135">
        <v>0</v>
      </c>
      <c r="I591" s="86">
        <v>0</v>
      </c>
      <c r="J591" s="97"/>
      <c r="K591" s="146"/>
      <c r="L591" s="113"/>
    </row>
    <row r="592" spans="1:12" s="141" customFormat="1" ht="19.5" customHeight="1">
      <c r="A592" s="150"/>
      <c r="B592" s="95"/>
      <c r="C592" s="82">
        <v>2021</v>
      </c>
      <c r="D592" s="86">
        <f t="shared" si="64"/>
        <v>0</v>
      </c>
      <c r="E592" s="131">
        <v>0</v>
      </c>
      <c r="F592" s="131"/>
      <c r="G592" s="131"/>
      <c r="H592" s="135">
        <v>0</v>
      </c>
      <c r="I592" s="86">
        <v>0</v>
      </c>
      <c r="J592" s="97"/>
      <c r="K592" s="146"/>
      <c r="L592" s="113"/>
    </row>
    <row r="593" spans="1:12" s="141" customFormat="1" ht="19.5" customHeight="1">
      <c r="A593" s="150"/>
      <c r="B593" s="95"/>
      <c r="C593" s="82">
        <v>2022</v>
      </c>
      <c r="D593" s="86">
        <f t="shared" si="64"/>
        <v>0</v>
      </c>
      <c r="E593" s="131">
        <v>0</v>
      </c>
      <c r="F593" s="131"/>
      <c r="G593" s="131"/>
      <c r="H593" s="135">
        <v>0</v>
      </c>
      <c r="I593" s="86">
        <v>0</v>
      </c>
      <c r="J593" s="97"/>
      <c r="K593" s="146"/>
      <c r="L593" s="113"/>
    </row>
    <row r="594" spans="1:12" s="141" customFormat="1" ht="19.5" customHeight="1">
      <c r="A594" s="150"/>
      <c r="B594" s="95"/>
      <c r="C594" s="82">
        <v>2023</v>
      </c>
      <c r="D594" s="86">
        <f t="shared" si="64"/>
        <v>0</v>
      </c>
      <c r="E594" s="131">
        <v>0</v>
      </c>
      <c r="F594" s="131"/>
      <c r="G594" s="131"/>
      <c r="H594" s="135">
        <v>0</v>
      </c>
      <c r="I594" s="86">
        <v>0</v>
      </c>
      <c r="J594" s="97"/>
      <c r="K594" s="146"/>
      <c r="L594" s="113"/>
    </row>
    <row r="595" spans="1:12" s="141" customFormat="1" ht="19.5" customHeight="1">
      <c r="A595" s="150"/>
      <c r="B595" s="95"/>
      <c r="C595" s="82">
        <v>2024</v>
      </c>
      <c r="D595" s="86">
        <f t="shared" si="64"/>
        <v>0</v>
      </c>
      <c r="E595" s="131">
        <v>0</v>
      </c>
      <c r="F595" s="131"/>
      <c r="G595" s="131"/>
      <c r="H595" s="135">
        <v>0</v>
      </c>
      <c r="I595" s="86">
        <v>0</v>
      </c>
      <c r="J595" s="97"/>
      <c r="K595" s="146"/>
      <c r="L595" s="113"/>
    </row>
    <row r="596" spans="1:12" s="141" customFormat="1" ht="19.5" customHeight="1">
      <c r="A596" s="150"/>
      <c r="B596" s="95"/>
      <c r="C596" s="82">
        <v>2025</v>
      </c>
      <c r="D596" s="86">
        <f t="shared" si="64"/>
        <v>0</v>
      </c>
      <c r="E596" s="131">
        <v>0</v>
      </c>
      <c r="F596" s="131"/>
      <c r="G596" s="131"/>
      <c r="H596" s="135">
        <v>0</v>
      </c>
      <c r="I596" s="86">
        <v>0</v>
      </c>
      <c r="J596" s="97"/>
      <c r="K596" s="146"/>
      <c r="L596" s="113"/>
    </row>
    <row r="597" spans="1:12" s="141" customFormat="1" ht="19.5" customHeight="1">
      <c r="A597" s="150" t="s">
        <v>221</v>
      </c>
      <c r="B597" s="95" t="s">
        <v>222</v>
      </c>
      <c r="C597" s="82">
        <v>2017</v>
      </c>
      <c r="D597" s="86">
        <v>0</v>
      </c>
      <c r="E597" s="131">
        <v>0</v>
      </c>
      <c r="F597" s="131"/>
      <c r="G597" s="131"/>
      <c r="H597" s="135">
        <v>0</v>
      </c>
      <c r="I597" s="86">
        <v>0</v>
      </c>
      <c r="J597" s="97"/>
      <c r="K597" s="146"/>
      <c r="L597" s="113"/>
    </row>
    <row r="598" spans="1:12" s="141" customFormat="1" ht="19.5" customHeight="1">
      <c r="A598" s="150"/>
      <c r="B598" s="95"/>
      <c r="C598" s="82">
        <v>2018</v>
      </c>
      <c r="D598" s="86">
        <v>0</v>
      </c>
      <c r="E598" s="131">
        <v>0</v>
      </c>
      <c r="F598" s="131"/>
      <c r="G598" s="131"/>
      <c r="H598" s="135">
        <v>0</v>
      </c>
      <c r="I598" s="86">
        <v>0</v>
      </c>
      <c r="J598" s="97"/>
      <c r="K598" s="146"/>
      <c r="L598" s="113"/>
    </row>
    <row r="599" spans="1:12" s="141" customFormat="1" ht="19.5" customHeight="1">
      <c r="A599" s="150"/>
      <c r="B599" s="95"/>
      <c r="C599" s="82">
        <v>2019</v>
      </c>
      <c r="D599" s="86">
        <f aca="true" t="shared" si="65" ref="D599:D605">I599</f>
        <v>330.132</v>
      </c>
      <c r="E599" s="131">
        <v>0</v>
      </c>
      <c r="F599" s="131"/>
      <c r="G599" s="131"/>
      <c r="H599" s="135">
        <v>0</v>
      </c>
      <c r="I599" s="86">
        <f>361.666-31.534</f>
        <v>330.132</v>
      </c>
      <c r="J599" s="97"/>
      <c r="K599" s="146" t="s">
        <v>198</v>
      </c>
      <c r="L599" s="113"/>
    </row>
    <row r="600" spans="1:12" s="141" customFormat="1" ht="19.5" customHeight="1">
      <c r="A600" s="150"/>
      <c r="B600" s="95"/>
      <c r="C600" s="82">
        <v>2020</v>
      </c>
      <c r="D600" s="86">
        <f t="shared" si="65"/>
        <v>0</v>
      </c>
      <c r="E600" s="131">
        <v>0</v>
      </c>
      <c r="F600" s="131"/>
      <c r="G600" s="131"/>
      <c r="H600" s="135">
        <v>0</v>
      </c>
      <c r="I600" s="86">
        <v>0</v>
      </c>
      <c r="J600" s="97"/>
      <c r="K600" s="146"/>
      <c r="L600" s="113"/>
    </row>
    <row r="601" spans="1:12" s="141" customFormat="1" ht="19.5" customHeight="1">
      <c r="A601" s="150"/>
      <c r="B601" s="95"/>
      <c r="C601" s="82">
        <v>2021</v>
      </c>
      <c r="D601" s="86">
        <f t="shared" si="65"/>
        <v>0</v>
      </c>
      <c r="E601" s="131">
        <v>0</v>
      </c>
      <c r="F601" s="131"/>
      <c r="G601" s="131"/>
      <c r="H601" s="135">
        <v>0</v>
      </c>
      <c r="I601" s="86">
        <v>0</v>
      </c>
      <c r="J601" s="97"/>
      <c r="K601" s="146"/>
      <c r="L601" s="113"/>
    </row>
    <row r="602" spans="1:12" s="141" customFormat="1" ht="19.5" customHeight="1">
      <c r="A602" s="150"/>
      <c r="B602" s="95"/>
      <c r="C602" s="82">
        <v>2022</v>
      </c>
      <c r="D602" s="86">
        <f t="shared" si="65"/>
        <v>0</v>
      </c>
      <c r="E602" s="131">
        <v>0</v>
      </c>
      <c r="F602" s="131"/>
      <c r="G602" s="131"/>
      <c r="H602" s="135">
        <v>0</v>
      </c>
      <c r="I602" s="86">
        <v>0</v>
      </c>
      <c r="J602" s="97"/>
      <c r="K602" s="146"/>
      <c r="L602" s="113"/>
    </row>
    <row r="603" spans="1:12" s="141" customFormat="1" ht="19.5" customHeight="1">
      <c r="A603" s="150"/>
      <c r="B603" s="95"/>
      <c r="C603" s="82">
        <v>2023</v>
      </c>
      <c r="D603" s="86">
        <f t="shared" si="65"/>
        <v>0</v>
      </c>
      <c r="E603" s="131">
        <v>0</v>
      </c>
      <c r="F603" s="131"/>
      <c r="G603" s="131"/>
      <c r="H603" s="135">
        <v>0</v>
      </c>
      <c r="I603" s="86">
        <v>0</v>
      </c>
      <c r="J603" s="97"/>
      <c r="K603" s="146"/>
      <c r="L603" s="113"/>
    </row>
    <row r="604" spans="1:12" s="141" customFormat="1" ht="19.5" customHeight="1">
      <c r="A604" s="150"/>
      <c r="B604" s="95"/>
      <c r="C604" s="82">
        <v>2024</v>
      </c>
      <c r="D604" s="86">
        <f t="shared" si="65"/>
        <v>0</v>
      </c>
      <c r="E604" s="131">
        <v>0</v>
      </c>
      <c r="F604" s="131"/>
      <c r="G604" s="131"/>
      <c r="H604" s="135">
        <v>0</v>
      </c>
      <c r="I604" s="86">
        <v>0</v>
      </c>
      <c r="J604" s="97"/>
      <c r="K604" s="146"/>
      <c r="L604" s="113"/>
    </row>
    <row r="605" spans="1:12" s="141" customFormat="1" ht="19.5" customHeight="1">
      <c r="A605" s="150"/>
      <c r="B605" s="95"/>
      <c r="C605" s="82">
        <v>2025</v>
      </c>
      <c r="D605" s="86">
        <f t="shared" si="65"/>
        <v>0</v>
      </c>
      <c r="E605" s="131">
        <v>0</v>
      </c>
      <c r="F605" s="131"/>
      <c r="G605" s="131"/>
      <c r="H605" s="135">
        <v>0</v>
      </c>
      <c r="I605" s="86">
        <v>0</v>
      </c>
      <c r="J605" s="97"/>
      <c r="K605" s="146"/>
      <c r="L605" s="113"/>
    </row>
    <row r="606" spans="1:12" s="141" customFormat="1" ht="19.5" customHeight="1">
      <c r="A606" s="150" t="s">
        <v>223</v>
      </c>
      <c r="B606" s="95" t="s">
        <v>224</v>
      </c>
      <c r="C606" s="82">
        <v>2017</v>
      </c>
      <c r="D606" s="86">
        <v>0</v>
      </c>
      <c r="E606" s="131">
        <v>0</v>
      </c>
      <c r="F606" s="131"/>
      <c r="G606" s="131"/>
      <c r="H606" s="135">
        <v>0</v>
      </c>
      <c r="I606" s="86">
        <v>0</v>
      </c>
      <c r="J606" s="97"/>
      <c r="K606" s="146"/>
      <c r="L606" s="113"/>
    </row>
    <row r="607" spans="1:12" s="141" customFormat="1" ht="19.5" customHeight="1">
      <c r="A607" s="150"/>
      <c r="B607" s="95"/>
      <c r="C607" s="82">
        <v>2018</v>
      </c>
      <c r="D607" s="86">
        <v>0</v>
      </c>
      <c r="E607" s="131">
        <v>0</v>
      </c>
      <c r="F607" s="131"/>
      <c r="G607" s="131"/>
      <c r="H607" s="135">
        <v>0</v>
      </c>
      <c r="I607" s="86">
        <v>0</v>
      </c>
      <c r="J607" s="97"/>
      <c r="K607" s="146"/>
      <c r="L607" s="113"/>
    </row>
    <row r="608" spans="1:12" s="141" customFormat="1" ht="19.5" customHeight="1">
      <c r="A608" s="150"/>
      <c r="B608" s="95"/>
      <c r="C608" s="82">
        <v>2019</v>
      </c>
      <c r="D608" s="86">
        <f aca="true" t="shared" si="66" ref="D608:D614">E608+H608+I608</f>
        <v>143.621</v>
      </c>
      <c r="E608" s="131">
        <v>0</v>
      </c>
      <c r="F608" s="131"/>
      <c r="G608" s="131"/>
      <c r="H608" s="135">
        <v>0</v>
      </c>
      <c r="I608" s="86">
        <v>143.621</v>
      </c>
      <c r="J608" s="97"/>
      <c r="K608" s="146" t="s">
        <v>189</v>
      </c>
      <c r="L608" s="113"/>
    </row>
    <row r="609" spans="1:12" s="141" customFormat="1" ht="19.5" customHeight="1">
      <c r="A609" s="150"/>
      <c r="B609" s="95"/>
      <c r="C609" s="82">
        <v>2020</v>
      </c>
      <c r="D609" s="86">
        <f t="shared" si="66"/>
        <v>0</v>
      </c>
      <c r="E609" s="131">
        <v>0</v>
      </c>
      <c r="F609" s="131"/>
      <c r="G609" s="131"/>
      <c r="H609" s="135">
        <v>0</v>
      </c>
      <c r="I609" s="86">
        <v>0</v>
      </c>
      <c r="J609" s="97"/>
      <c r="K609" s="146"/>
      <c r="L609" s="113"/>
    </row>
    <row r="610" spans="1:12" s="141" customFormat="1" ht="19.5" customHeight="1">
      <c r="A610" s="150"/>
      <c r="B610" s="95"/>
      <c r="C610" s="82">
        <v>2021</v>
      </c>
      <c r="D610" s="86">
        <f t="shared" si="66"/>
        <v>0</v>
      </c>
      <c r="E610" s="131">
        <v>0</v>
      </c>
      <c r="F610" s="131"/>
      <c r="G610" s="131"/>
      <c r="H610" s="135">
        <v>0</v>
      </c>
      <c r="I610" s="86">
        <v>0</v>
      </c>
      <c r="J610" s="97"/>
      <c r="K610" s="146"/>
      <c r="L610" s="113"/>
    </row>
    <row r="611" spans="1:12" s="141" customFormat="1" ht="19.5" customHeight="1">
      <c r="A611" s="150"/>
      <c r="B611" s="95"/>
      <c r="C611" s="82">
        <v>2022</v>
      </c>
      <c r="D611" s="86">
        <f t="shared" si="66"/>
        <v>0</v>
      </c>
      <c r="E611" s="131">
        <v>0</v>
      </c>
      <c r="F611" s="131"/>
      <c r="G611" s="131"/>
      <c r="H611" s="135">
        <v>0</v>
      </c>
      <c r="I611" s="86">
        <v>0</v>
      </c>
      <c r="J611" s="97"/>
      <c r="K611" s="146"/>
      <c r="L611" s="113"/>
    </row>
    <row r="612" spans="1:12" s="141" customFormat="1" ht="19.5" customHeight="1">
      <c r="A612" s="150"/>
      <c r="B612" s="95"/>
      <c r="C612" s="82">
        <v>2023</v>
      </c>
      <c r="D612" s="86">
        <f t="shared" si="66"/>
        <v>0</v>
      </c>
      <c r="E612" s="131">
        <v>0</v>
      </c>
      <c r="F612" s="131"/>
      <c r="G612" s="131"/>
      <c r="H612" s="135">
        <v>0</v>
      </c>
      <c r="I612" s="86">
        <v>0</v>
      </c>
      <c r="J612" s="97"/>
      <c r="K612" s="146"/>
      <c r="L612" s="113"/>
    </row>
    <row r="613" spans="1:12" s="141" customFormat="1" ht="19.5" customHeight="1">
      <c r="A613" s="150"/>
      <c r="B613" s="95"/>
      <c r="C613" s="82">
        <v>2024</v>
      </c>
      <c r="D613" s="86">
        <f t="shared" si="66"/>
        <v>0</v>
      </c>
      <c r="E613" s="131">
        <v>0</v>
      </c>
      <c r="F613" s="131"/>
      <c r="G613" s="131"/>
      <c r="H613" s="135">
        <v>0</v>
      </c>
      <c r="I613" s="86">
        <v>0</v>
      </c>
      <c r="J613" s="97"/>
      <c r="K613" s="146"/>
      <c r="L613" s="113"/>
    </row>
    <row r="614" spans="1:12" s="141" customFormat="1" ht="19.5" customHeight="1">
      <c r="A614" s="150"/>
      <c r="B614" s="95"/>
      <c r="C614" s="82">
        <v>2025</v>
      </c>
      <c r="D614" s="86">
        <f t="shared" si="66"/>
        <v>0</v>
      </c>
      <c r="E614" s="131">
        <v>0</v>
      </c>
      <c r="F614" s="131"/>
      <c r="G614" s="131"/>
      <c r="H614" s="135">
        <v>0</v>
      </c>
      <c r="I614" s="86">
        <v>0</v>
      </c>
      <c r="J614" s="97"/>
      <c r="K614" s="146"/>
      <c r="L614" s="113"/>
    </row>
    <row r="615" spans="1:12" s="141" customFormat="1" ht="19.5" customHeight="1">
      <c r="A615" s="150" t="s">
        <v>225</v>
      </c>
      <c r="B615" s="95" t="s">
        <v>226</v>
      </c>
      <c r="C615" s="82">
        <v>2017</v>
      </c>
      <c r="D615" s="86">
        <v>0</v>
      </c>
      <c r="E615" s="131">
        <v>0</v>
      </c>
      <c r="F615" s="131"/>
      <c r="G615" s="131"/>
      <c r="H615" s="135">
        <v>0</v>
      </c>
      <c r="I615" s="86">
        <v>0</v>
      </c>
      <c r="J615" s="97"/>
      <c r="K615" s="146"/>
      <c r="L615" s="113"/>
    </row>
    <row r="616" spans="1:12" s="141" customFormat="1" ht="19.5" customHeight="1">
      <c r="A616" s="150"/>
      <c r="B616" s="95"/>
      <c r="C616" s="82">
        <v>2018</v>
      </c>
      <c r="D616" s="86">
        <v>0</v>
      </c>
      <c r="E616" s="131">
        <v>0</v>
      </c>
      <c r="F616" s="131"/>
      <c r="G616" s="131"/>
      <c r="H616" s="135">
        <v>0</v>
      </c>
      <c r="I616" s="86">
        <v>0</v>
      </c>
      <c r="J616" s="97"/>
      <c r="K616" s="146"/>
      <c r="L616" s="113"/>
    </row>
    <row r="617" spans="1:12" s="141" customFormat="1" ht="19.5" customHeight="1">
      <c r="A617" s="150"/>
      <c r="B617" s="95"/>
      <c r="C617" s="82">
        <v>2019</v>
      </c>
      <c r="D617" s="86">
        <f aca="true" t="shared" si="67" ref="D617:D623">I617</f>
        <v>69.845</v>
      </c>
      <c r="E617" s="131">
        <v>0</v>
      </c>
      <c r="F617" s="131"/>
      <c r="G617" s="131"/>
      <c r="H617" s="135">
        <v>0</v>
      </c>
      <c r="I617" s="86">
        <v>69.845</v>
      </c>
      <c r="J617" s="97"/>
      <c r="K617" s="146" t="s">
        <v>122</v>
      </c>
      <c r="L617" s="113"/>
    </row>
    <row r="618" spans="1:12" s="141" customFormat="1" ht="19.5" customHeight="1">
      <c r="A618" s="150"/>
      <c r="B618" s="95"/>
      <c r="C618" s="82">
        <v>2020</v>
      </c>
      <c r="D618" s="86">
        <f t="shared" si="67"/>
        <v>0</v>
      </c>
      <c r="E618" s="131">
        <v>0</v>
      </c>
      <c r="F618" s="131"/>
      <c r="G618" s="131"/>
      <c r="H618" s="135">
        <v>0</v>
      </c>
      <c r="I618" s="86">
        <v>0</v>
      </c>
      <c r="J618" s="97"/>
      <c r="K618" s="146"/>
      <c r="L618" s="113"/>
    </row>
    <row r="619" spans="1:12" s="141" customFormat="1" ht="19.5" customHeight="1">
      <c r="A619" s="150"/>
      <c r="B619" s="95"/>
      <c r="C619" s="82">
        <v>2021</v>
      </c>
      <c r="D619" s="86">
        <f t="shared" si="67"/>
        <v>0</v>
      </c>
      <c r="E619" s="131">
        <v>0</v>
      </c>
      <c r="F619" s="131"/>
      <c r="G619" s="131"/>
      <c r="H619" s="135">
        <v>0</v>
      </c>
      <c r="I619" s="86">
        <v>0</v>
      </c>
      <c r="J619" s="97"/>
      <c r="K619" s="146"/>
      <c r="L619" s="113"/>
    </row>
    <row r="620" spans="1:12" s="141" customFormat="1" ht="19.5" customHeight="1">
      <c r="A620" s="150"/>
      <c r="B620" s="95"/>
      <c r="C620" s="82">
        <v>2022</v>
      </c>
      <c r="D620" s="86">
        <f t="shared" si="67"/>
        <v>0</v>
      </c>
      <c r="E620" s="131">
        <v>0</v>
      </c>
      <c r="F620" s="131"/>
      <c r="G620" s="131"/>
      <c r="H620" s="135">
        <v>0</v>
      </c>
      <c r="I620" s="86">
        <v>0</v>
      </c>
      <c r="J620" s="97"/>
      <c r="K620" s="146"/>
      <c r="L620" s="113"/>
    </row>
    <row r="621" spans="1:12" s="141" customFormat="1" ht="19.5" customHeight="1">
      <c r="A621" s="150"/>
      <c r="B621" s="95"/>
      <c r="C621" s="82">
        <v>2023</v>
      </c>
      <c r="D621" s="86">
        <f t="shared" si="67"/>
        <v>0</v>
      </c>
      <c r="E621" s="131">
        <v>0</v>
      </c>
      <c r="F621" s="131"/>
      <c r="G621" s="131"/>
      <c r="H621" s="135">
        <v>0</v>
      </c>
      <c r="I621" s="86">
        <v>0</v>
      </c>
      <c r="J621" s="97"/>
      <c r="K621" s="146"/>
      <c r="L621" s="113"/>
    </row>
    <row r="622" spans="1:12" s="141" customFormat="1" ht="19.5" customHeight="1">
      <c r="A622" s="150"/>
      <c r="B622" s="95"/>
      <c r="C622" s="82">
        <v>2024</v>
      </c>
      <c r="D622" s="86">
        <f t="shared" si="67"/>
        <v>0</v>
      </c>
      <c r="E622" s="131">
        <v>0</v>
      </c>
      <c r="F622" s="131"/>
      <c r="G622" s="131"/>
      <c r="H622" s="135">
        <v>0</v>
      </c>
      <c r="I622" s="86">
        <v>0</v>
      </c>
      <c r="J622" s="97"/>
      <c r="K622" s="146"/>
      <c r="L622" s="113"/>
    </row>
    <row r="623" spans="1:12" s="141" customFormat="1" ht="19.5" customHeight="1">
      <c r="A623" s="150"/>
      <c r="B623" s="95"/>
      <c r="C623" s="82">
        <v>2025</v>
      </c>
      <c r="D623" s="86">
        <f t="shared" si="67"/>
        <v>0</v>
      </c>
      <c r="E623" s="131">
        <v>0</v>
      </c>
      <c r="F623" s="131"/>
      <c r="G623" s="131"/>
      <c r="H623" s="135">
        <v>0</v>
      </c>
      <c r="I623" s="86">
        <v>0</v>
      </c>
      <c r="J623" s="97"/>
      <c r="K623" s="146"/>
      <c r="L623" s="113"/>
    </row>
    <row r="624" spans="1:12" s="141" customFormat="1" ht="19.5" customHeight="1">
      <c r="A624" s="151" t="s">
        <v>227</v>
      </c>
      <c r="B624" s="95" t="s">
        <v>228</v>
      </c>
      <c r="C624" s="82">
        <v>2017</v>
      </c>
      <c r="D624" s="86">
        <v>0</v>
      </c>
      <c r="E624" s="131">
        <v>0</v>
      </c>
      <c r="F624" s="131"/>
      <c r="G624" s="131"/>
      <c r="H624" s="135">
        <v>0</v>
      </c>
      <c r="I624" s="86">
        <v>0</v>
      </c>
      <c r="J624" s="97"/>
      <c r="K624" s="146"/>
      <c r="L624" s="113"/>
    </row>
    <row r="625" spans="1:12" s="141" customFormat="1" ht="19.5" customHeight="1">
      <c r="A625" s="151"/>
      <c r="B625" s="95"/>
      <c r="C625" s="82">
        <v>2018</v>
      </c>
      <c r="D625" s="86">
        <v>0</v>
      </c>
      <c r="E625" s="131">
        <v>0</v>
      </c>
      <c r="F625" s="131"/>
      <c r="G625" s="131"/>
      <c r="H625" s="135">
        <v>0</v>
      </c>
      <c r="I625" s="86">
        <v>0</v>
      </c>
      <c r="J625" s="97"/>
      <c r="K625" s="146"/>
      <c r="L625" s="113"/>
    </row>
    <row r="626" spans="1:12" s="141" customFormat="1" ht="19.5" customHeight="1">
      <c r="A626" s="151"/>
      <c r="B626" s="95"/>
      <c r="C626" s="82">
        <v>2019</v>
      </c>
      <c r="D626" s="86">
        <f aca="true" t="shared" si="68" ref="D626:D668">I626</f>
        <v>549.981</v>
      </c>
      <c r="E626" s="131">
        <v>0</v>
      </c>
      <c r="F626" s="131"/>
      <c r="G626" s="131"/>
      <c r="H626" s="135">
        <v>0</v>
      </c>
      <c r="I626" s="86">
        <v>549.981</v>
      </c>
      <c r="J626" s="97"/>
      <c r="K626" s="146" t="s">
        <v>78</v>
      </c>
      <c r="L626" s="113"/>
    </row>
    <row r="627" spans="1:12" s="141" customFormat="1" ht="19.5" customHeight="1">
      <c r="A627" s="151"/>
      <c r="B627" s="95"/>
      <c r="C627" s="82">
        <v>2020</v>
      </c>
      <c r="D627" s="86">
        <f t="shared" si="68"/>
        <v>0</v>
      </c>
      <c r="E627" s="131">
        <v>0</v>
      </c>
      <c r="F627" s="131"/>
      <c r="G627" s="131"/>
      <c r="H627" s="135">
        <v>0</v>
      </c>
      <c r="I627" s="86">
        <v>0</v>
      </c>
      <c r="J627" s="97"/>
      <c r="K627" s="146"/>
      <c r="L627" s="113"/>
    </row>
    <row r="628" spans="1:12" s="141" customFormat="1" ht="19.5" customHeight="1">
      <c r="A628" s="151"/>
      <c r="B628" s="95"/>
      <c r="C628" s="82">
        <v>2021</v>
      </c>
      <c r="D628" s="86">
        <f t="shared" si="68"/>
        <v>0</v>
      </c>
      <c r="E628" s="131">
        <v>0</v>
      </c>
      <c r="F628" s="131"/>
      <c r="G628" s="131"/>
      <c r="H628" s="135">
        <v>0</v>
      </c>
      <c r="I628" s="86">
        <v>0</v>
      </c>
      <c r="J628" s="97"/>
      <c r="K628" s="146"/>
      <c r="L628" s="113"/>
    </row>
    <row r="629" spans="1:12" s="141" customFormat="1" ht="19.5" customHeight="1">
      <c r="A629" s="151"/>
      <c r="B629" s="95"/>
      <c r="C629" s="82">
        <v>2022</v>
      </c>
      <c r="D629" s="86">
        <f t="shared" si="68"/>
        <v>0</v>
      </c>
      <c r="E629" s="131">
        <v>0</v>
      </c>
      <c r="F629" s="131"/>
      <c r="G629" s="131"/>
      <c r="H629" s="135">
        <v>0</v>
      </c>
      <c r="I629" s="86">
        <v>0</v>
      </c>
      <c r="J629" s="97"/>
      <c r="K629" s="146"/>
      <c r="L629" s="113"/>
    </row>
    <row r="630" spans="1:12" s="141" customFormat="1" ht="19.5" customHeight="1" hidden="1">
      <c r="A630" s="151"/>
      <c r="B630" s="95"/>
      <c r="C630" s="82">
        <v>2023</v>
      </c>
      <c r="D630" s="86">
        <f t="shared" si="68"/>
        <v>0</v>
      </c>
      <c r="E630" s="131">
        <v>0</v>
      </c>
      <c r="F630" s="131"/>
      <c r="G630" s="131"/>
      <c r="H630" s="135">
        <v>0</v>
      </c>
      <c r="I630" s="86">
        <v>0</v>
      </c>
      <c r="J630" s="97"/>
      <c r="K630" s="146"/>
      <c r="L630" s="113"/>
    </row>
    <row r="631" spans="1:12" s="141" customFormat="1" ht="19.5" customHeight="1" hidden="1">
      <c r="A631" s="151"/>
      <c r="B631" s="95"/>
      <c r="C631" s="82">
        <v>2017</v>
      </c>
      <c r="D631" s="86">
        <f t="shared" si="68"/>
        <v>0</v>
      </c>
      <c r="E631" s="131">
        <v>0</v>
      </c>
      <c r="F631" s="131"/>
      <c r="G631" s="131"/>
      <c r="H631" s="135">
        <v>0</v>
      </c>
      <c r="I631" s="86">
        <v>0</v>
      </c>
      <c r="J631" s="97"/>
      <c r="K631" s="146"/>
      <c r="L631" s="113"/>
    </row>
    <row r="632" spans="1:12" s="141" customFormat="1" ht="19.5" customHeight="1" hidden="1">
      <c r="A632" s="151"/>
      <c r="B632" s="95"/>
      <c r="C632" s="82">
        <v>2018</v>
      </c>
      <c r="D632" s="86">
        <f t="shared" si="68"/>
        <v>0</v>
      </c>
      <c r="E632" s="131">
        <v>0</v>
      </c>
      <c r="F632" s="131"/>
      <c r="G632" s="131"/>
      <c r="H632" s="135">
        <v>0</v>
      </c>
      <c r="I632" s="86">
        <v>0</v>
      </c>
      <c r="J632" s="97"/>
      <c r="K632" s="146"/>
      <c r="L632" s="113"/>
    </row>
    <row r="633" spans="1:12" s="141" customFormat="1" ht="19.5" customHeight="1" hidden="1">
      <c r="A633" s="151"/>
      <c r="B633" s="95"/>
      <c r="C633" s="82">
        <v>2019</v>
      </c>
      <c r="D633" s="86">
        <f t="shared" si="68"/>
        <v>0</v>
      </c>
      <c r="E633" s="131">
        <v>0</v>
      </c>
      <c r="F633" s="131"/>
      <c r="G633" s="131"/>
      <c r="H633" s="135">
        <v>0</v>
      </c>
      <c r="I633" s="86">
        <v>0</v>
      </c>
      <c r="J633" s="97"/>
      <c r="K633" s="146"/>
      <c r="L633" s="113"/>
    </row>
    <row r="634" spans="1:12" s="141" customFormat="1" ht="19.5" customHeight="1" hidden="1">
      <c r="A634" s="151"/>
      <c r="B634" s="95"/>
      <c r="C634" s="82">
        <v>2020</v>
      </c>
      <c r="D634" s="86">
        <f t="shared" si="68"/>
        <v>0</v>
      </c>
      <c r="E634" s="131">
        <v>0</v>
      </c>
      <c r="F634" s="131"/>
      <c r="G634" s="131"/>
      <c r="H634" s="135">
        <v>0</v>
      </c>
      <c r="I634" s="86">
        <v>0</v>
      </c>
      <c r="J634" s="97"/>
      <c r="K634" s="146" t="s">
        <v>173</v>
      </c>
      <c r="L634" s="113"/>
    </row>
    <row r="635" spans="1:12" s="141" customFormat="1" ht="19.5" customHeight="1" hidden="1">
      <c r="A635" s="151"/>
      <c r="B635" s="95"/>
      <c r="C635" s="82">
        <v>2021</v>
      </c>
      <c r="D635" s="86">
        <f t="shared" si="68"/>
        <v>0</v>
      </c>
      <c r="E635" s="131">
        <v>0</v>
      </c>
      <c r="F635" s="131"/>
      <c r="G635" s="131"/>
      <c r="H635" s="135">
        <v>0</v>
      </c>
      <c r="I635" s="86">
        <v>0</v>
      </c>
      <c r="J635" s="97"/>
      <c r="K635" s="146"/>
      <c r="L635" s="113"/>
    </row>
    <row r="636" spans="1:12" s="141" customFormat="1" ht="19.5" customHeight="1" hidden="1">
      <c r="A636" s="151"/>
      <c r="B636" s="95"/>
      <c r="C636" s="82">
        <v>2022</v>
      </c>
      <c r="D636" s="86">
        <f t="shared" si="68"/>
        <v>0</v>
      </c>
      <c r="E636" s="131">
        <v>0</v>
      </c>
      <c r="F636" s="131"/>
      <c r="G636" s="131"/>
      <c r="H636" s="135">
        <v>0</v>
      </c>
      <c r="I636" s="86">
        <v>0</v>
      </c>
      <c r="J636" s="97"/>
      <c r="K636" s="146"/>
      <c r="L636" s="113"/>
    </row>
    <row r="637" spans="1:12" s="141" customFormat="1" ht="19.5" customHeight="1" hidden="1">
      <c r="A637" s="151"/>
      <c r="B637" s="146" t="s">
        <v>229</v>
      </c>
      <c r="C637" s="82">
        <v>2017</v>
      </c>
      <c r="D637" s="86">
        <f t="shared" si="68"/>
        <v>0</v>
      </c>
      <c r="E637" s="131">
        <v>0</v>
      </c>
      <c r="F637" s="131"/>
      <c r="G637" s="131"/>
      <c r="H637" s="135">
        <v>0</v>
      </c>
      <c r="I637" s="86">
        <v>0</v>
      </c>
      <c r="J637" s="97"/>
      <c r="K637" s="146"/>
      <c r="L637" s="113"/>
    </row>
    <row r="638" spans="1:12" s="141" customFormat="1" ht="19.5" customHeight="1" hidden="1">
      <c r="A638" s="151"/>
      <c r="B638" s="146"/>
      <c r="C638" s="82">
        <v>2018</v>
      </c>
      <c r="D638" s="86">
        <f t="shared" si="68"/>
        <v>0</v>
      </c>
      <c r="E638" s="131">
        <v>0</v>
      </c>
      <c r="F638" s="131"/>
      <c r="G638" s="131"/>
      <c r="H638" s="135">
        <v>0</v>
      </c>
      <c r="I638" s="86">
        <v>0</v>
      </c>
      <c r="J638" s="97"/>
      <c r="K638" s="146"/>
      <c r="L638" s="113"/>
    </row>
    <row r="639" spans="1:12" s="141" customFormat="1" ht="19.5" customHeight="1" hidden="1">
      <c r="A639" s="151"/>
      <c r="B639" s="146"/>
      <c r="C639" s="82">
        <v>2019</v>
      </c>
      <c r="D639" s="86">
        <f t="shared" si="68"/>
        <v>0</v>
      </c>
      <c r="E639" s="131">
        <v>0</v>
      </c>
      <c r="F639" s="131"/>
      <c r="G639" s="131"/>
      <c r="H639" s="135">
        <v>0</v>
      </c>
      <c r="I639" s="86">
        <v>0</v>
      </c>
      <c r="J639" s="97"/>
      <c r="K639" s="146"/>
      <c r="L639" s="113"/>
    </row>
    <row r="640" spans="1:12" s="141" customFormat="1" ht="19.5" customHeight="1" hidden="1">
      <c r="A640" s="151"/>
      <c r="B640" s="146"/>
      <c r="C640" s="82">
        <v>2020</v>
      </c>
      <c r="D640" s="86">
        <f t="shared" si="68"/>
        <v>0</v>
      </c>
      <c r="E640" s="131">
        <v>0</v>
      </c>
      <c r="F640" s="131"/>
      <c r="G640" s="131"/>
      <c r="H640" s="135">
        <v>0</v>
      </c>
      <c r="I640" s="86">
        <v>0</v>
      </c>
      <c r="J640" s="97"/>
      <c r="K640" s="147" t="s">
        <v>173</v>
      </c>
      <c r="L640" s="113"/>
    </row>
    <row r="641" spans="1:12" s="141" customFormat="1" ht="19.5" customHeight="1" hidden="1">
      <c r="A641" s="151"/>
      <c r="B641" s="146"/>
      <c r="C641" s="82">
        <v>2021</v>
      </c>
      <c r="D641" s="86">
        <f t="shared" si="68"/>
        <v>0</v>
      </c>
      <c r="E641" s="131">
        <v>0</v>
      </c>
      <c r="F641" s="131"/>
      <c r="G641" s="131"/>
      <c r="H641" s="135">
        <v>0</v>
      </c>
      <c r="I641" s="86">
        <v>0</v>
      </c>
      <c r="J641" s="97"/>
      <c r="K641" s="146"/>
      <c r="L641" s="113"/>
    </row>
    <row r="642" spans="1:12" s="141" customFormat="1" ht="19.5" customHeight="1" hidden="1">
      <c r="A642" s="151"/>
      <c r="B642" s="146"/>
      <c r="C642" s="82">
        <v>2022</v>
      </c>
      <c r="D642" s="86">
        <f t="shared" si="68"/>
        <v>0</v>
      </c>
      <c r="E642" s="131">
        <v>0</v>
      </c>
      <c r="F642" s="131"/>
      <c r="G642" s="131"/>
      <c r="H642" s="135">
        <v>0</v>
      </c>
      <c r="I642" s="86">
        <v>0</v>
      </c>
      <c r="J642" s="97"/>
      <c r="K642" s="146"/>
      <c r="L642" s="113"/>
    </row>
    <row r="643" spans="1:12" s="141" customFormat="1" ht="19.5" customHeight="1" hidden="1">
      <c r="A643" s="151"/>
      <c r="B643" s="146"/>
      <c r="C643" s="82">
        <v>2023</v>
      </c>
      <c r="D643" s="86">
        <f t="shared" si="68"/>
        <v>0</v>
      </c>
      <c r="E643" s="131">
        <v>0</v>
      </c>
      <c r="F643" s="131"/>
      <c r="G643" s="131"/>
      <c r="H643" s="135">
        <v>0</v>
      </c>
      <c r="I643" s="86">
        <v>0</v>
      </c>
      <c r="J643" s="97"/>
      <c r="K643" s="146"/>
      <c r="L643" s="113"/>
    </row>
    <row r="644" spans="1:12" s="141" customFormat="1" ht="19.5" customHeight="1" hidden="1">
      <c r="A644" s="151"/>
      <c r="B644" s="146" t="s">
        <v>230</v>
      </c>
      <c r="C644" s="82">
        <v>2017</v>
      </c>
      <c r="D644" s="86">
        <f t="shared" si="68"/>
        <v>0</v>
      </c>
      <c r="E644" s="131">
        <v>0</v>
      </c>
      <c r="F644" s="131"/>
      <c r="G644" s="131"/>
      <c r="H644" s="135">
        <v>0</v>
      </c>
      <c r="I644" s="86">
        <v>0</v>
      </c>
      <c r="J644" s="97"/>
      <c r="K644" s="146"/>
      <c r="L644" s="113"/>
    </row>
    <row r="645" spans="1:12" s="141" customFormat="1" ht="19.5" customHeight="1" hidden="1">
      <c r="A645" s="151"/>
      <c r="B645" s="146"/>
      <c r="C645" s="82">
        <v>2018</v>
      </c>
      <c r="D645" s="86">
        <f t="shared" si="68"/>
        <v>0</v>
      </c>
      <c r="E645" s="131">
        <v>0</v>
      </c>
      <c r="F645" s="131"/>
      <c r="G645" s="131"/>
      <c r="H645" s="135">
        <v>0</v>
      </c>
      <c r="I645" s="86">
        <v>0</v>
      </c>
      <c r="J645" s="97"/>
      <c r="K645" s="146"/>
      <c r="L645" s="113"/>
    </row>
    <row r="646" spans="1:12" s="141" customFormat="1" ht="19.5" customHeight="1" hidden="1">
      <c r="A646" s="151"/>
      <c r="B646" s="146"/>
      <c r="C646" s="82">
        <v>2019</v>
      </c>
      <c r="D646" s="86">
        <f t="shared" si="68"/>
        <v>0</v>
      </c>
      <c r="E646" s="131">
        <v>0</v>
      </c>
      <c r="F646" s="131"/>
      <c r="G646" s="131"/>
      <c r="H646" s="135">
        <v>0</v>
      </c>
      <c r="I646" s="86">
        <v>0</v>
      </c>
      <c r="J646" s="97"/>
      <c r="K646" s="146"/>
      <c r="L646" s="113"/>
    </row>
    <row r="647" spans="1:12" s="141" customFormat="1" ht="19.5" customHeight="1" hidden="1">
      <c r="A647" s="151"/>
      <c r="B647" s="146"/>
      <c r="C647" s="82">
        <v>2020</v>
      </c>
      <c r="D647" s="86">
        <f t="shared" si="68"/>
        <v>0</v>
      </c>
      <c r="E647" s="131">
        <v>0</v>
      </c>
      <c r="F647" s="131"/>
      <c r="G647" s="131"/>
      <c r="H647" s="135">
        <v>0</v>
      </c>
      <c r="I647" s="86">
        <v>0</v>
      </c>
      <c r="J647" s="97"/>
      <c r="K647" s="147" t="s">
        <v>173</v>
      </c>
      <c r="L647" s="113"/>
    </row>
    <row r="648" spans="1:12" s="141" customFormat="1" ht="19.5" customHeight="1" hidden="1">
      <c r="A648" s="151"/>
      <c r="B648" s="146"/>
      <c r="C648" s="82">
        <v>2021</v>
      </c>
      <c r="D648" s="86">
        <f t="shared" si="68"/>
        <v>0</v>
      </c>
      <c r="E648" s="131">
        <v>0</v>
      </c>
      <c r="F648" s="131"/>
      <c r="G648" s="131"/>
      <c r="H648" s="135">
        <v>0</v>
      </c>
      <c r="I648" s="86">
        <v>0</v>
      </c>
      <c r="J648" s="97"/>
      <c r="K648" s="146"/>
      <c r="L648" s="113"/>
    </row>
    <row r="649" spans="1:12" s="141" customFormat="1" ht="19.5" customHeight="1" hidden="1">
      <c r="A649" s="151"/>
      <c r="B649" s="146"/>
      <c r="C649" s="82">
        <v>2022</v>
      </c>
      <c r="D649" s="86">
        <f t="shared" si="68"/>
        <v>0</v>
      </c>
      <c r="E649" s="131">
        <v>0</v>
      </c>
      <c r="F649" s="131"/>
      <c r="G649" s="131"/>
      <c r="H649" s="135">
        <v>0</v>
      </c>
      <c r="I649" s="86">
        <v>0</v>
      </c>
      <c r="J649" s="97"/>
      <c r="K649" s="146"/>
      <c r="L649" s="113"/>
    </row>
    <row r="650" spans="1:12" s="141" customFormat="1" ht="19.5" customHeight="1" hidden="1">
      <c r="A650" s="151"/>
      <c r="B650" s="146"/>
      <c r="C650" s="82">
        <v>2023</v>
      </c>
      <c r="D650" s="86">
        <f t="shared" si="68"/>
        <v>0</v>
      </c>
      <c r="E650" s="131">
        <v>0</v>
      </c>
      <c r="F650" s="131"/>
      <c r="G650" s="131"/>
      <c r="H650" s="135">
        <v>0</v>
      </c>
      <c r="I650" s="86">
        <v>0</v>
      </c>
      <c r="J650" s="97"/>
      <c r="K650" s="146"/>
      <c r="L650" s="113"/>
    </row>
    <row r="651" spans="1:12" s="141" customFormat="1" ht="19.5" customHeight="1" hidden="1">
      <c r="A651" s="151"/>
      <c r="B651" s="146" t="s">
        <v>231</v>
      </c>
      <c r="C651" s="82">
        <v>2017</v>
      </c>
      <c r="D651" s="86">
        <f t="shared" si="68"/>
        <v>0</v>
      </c>
      <c r="E651" s="131">
        <v>0</v>
      </c>
      <c r="F651" s="131"/>
      <c r="G651" s="131"/>
      <c r="H651" s="135">
        <v>0</v>
      </c>
      <c r="I651" s="86">
        <v>0</v>
      </c>
      <c r="J651" s="97"/>
      <c r="K651" s="146"/>
      <c r="L651" s="113"/>
    </row>
    <row r="652" spans="1:12" s="141" customFormat="1" ht="19.5" customHeight="1" hidden="1">
      <c r="A652" s="151"/>
      <c r="B652" s="146"/>
      <c r="C652" s="82">
        <v>2018</v>
      </c>
      <c r="D652" s="86">
        <f t="shared" si="68"/>
        <v>0</v>
      </c>
      <c r="E652" s="131">
        <v>0</v>
      </c>
      <c r="F652" s="131"/>
      <c r="G652" s="131"/>
      <c r="H652" s="135">
        <v>0</v>
      </c>
      <c r="I652" s="86">
        <v>0</v>
      </c>
      <c r="J652" s="97"/>
      <c r="K652" s="146"/>
      <c r="L652" s="113"/>
    </row>
    <row r="653" spans="1:12" s="141" customFormat="1" ht="19.5" customHeight="1" hidden="1">
      <c r="A653" s="151"/>
      <c r="B653" s="146"/>
      <c r="C653" s="82">
        <v>2019</v>
      </c>
      <c r="D653" s="86">
        <f t="shared" si="68"/>
        <v>0</v>
      </c>
      <c r="E653" s="131">
        <v>0</v>
      </c>
      <c r="F653" s="131"/>
      <c r="G653" s="131"/>
      <c r="H653" s="135">
        <v>0</v>
      </c>
      <c r="I653" s="86">
        <v>0</v>
      </c>
      <c r="J653" s="97"/>
      <c r="K653" s="146"/>
      <c r="L653" s="113"/>
    </row>
    <row r="654" spans="1:12" s="141" customFormat="1" ht="19.5" customHeight="1" hidden="1">
      <c r="A654" s="151"/>
      <c r="B654" s="146"/>
      <c r="C654" s="82">
        <v>2020</v>
      </c>
      <c r="D654" s="86">
        <f t="shared" si="68"/>
        <v>0</v>
      </c>
      <c r="E654" s="131">
        <v>0</v>
      </c>
      <c r="F654" s="131"/>
      <c r="G654" s="131"/>
      <c r="H654" s="135">
        <v>0</v>
      </c>
      <c r="I654" s="86">
        <v>0</v>
      </c>
      <c r="J654" s="97"/>
      <c r="K654" s="147" t="s">
        <v>173</v>
      </c>
      <c r="L654" s="113"/>
    </row>
    <row r="655" spans="1:12" s="141" customFormat="1" ht="19.5" customHeight="1" hidden="1">
      <c r="A655" s="151"/>
      <c r="B655" s="146"/>
      <c r="C655" s="82">
        <v>2021</v>
      </c>
      <c r="D655" s="86">
        <f t="shared" si="68"/>
        <v>0</v>
      </c>
      <c r="E655" s="131">
        <v>0</v>
      </c>
      <c r="F655" s="131"/>
      <c r="G655" s="131"/>
      <c r="H655" s="135">
        <v>0</v>
      </c>
      <c r="I655" s="86">
        <v>0</v>
      </c>
      <c r="J655" s="97"/>
      <c r="K655" s="146"/>
      <c r="L655" s="113"/>
    </row>
    <row r="656" spans="1:12" s="141" customFormat="1" ht="19.5" customHeight="1" hidden="1">
      <c r="A656" s="151"/>
      <c r="B656" s="146"/>
      <c r="C656" s="82">
        <v>2022</v>
      </c>
      <c r="D656" s="86">
        <f t="shared" si="68"/>
        <v>0</v>
      </c>
      <c r="E656" s="131">
        <v>0</v>
      </c>
      <c r="F656" s="131"/>
      <c r="G656" s="131"/>
      <c r="H656" s="135">
        <v>0</v>
      </c>
      <c r="I656" s="86">
        <v>0</v>
      </c>
      <c r="J656" s="97"/>
      <c r="K656" s="146"/>
      <c r="L656" s="113"/>
    </row>
    <row r="657" spans="1:12" s="141" customFormat="1" ht="19.5" customHeight="1" hidden="1">
      <c r="A657" s="151"/>
      <c r="B657" s="146"/>
      <c r="C657" s="82">
        <v>2023</v>
      </c>
      <c r="D657" s="86">
        <f t="shared" si="68"/>
        <v>0</v>
      </c>
      <c r="E657" s="131">
        <v>0</v>
      </c>
      <c r="F657" s="131"/>
      <c r="G657" s="131"/>
      <c r="H657" s="135">
        <v>0</v>
      </c>
      <c r="I657" s="86">
        <v>0</v>
      </c>
      <c r="J657" s="97"/>
      <c r="K657" s="146"/>
      <c r="L657" s="113"/>
    </row>
    <row r="658" spans="1:12" s="141" customFormat="1" ht="19.5" customHeight="1" hidden="1">
      <c r="A658" s="151"/>
      <c r="B658" s="146" t="s">
        <v>232</v>
      </c>
      <c r="C658" s="82">
        <v>2017</v>
      </c>
      <c r="D658" s="86">
        <f t="shared" si="68"/>
        <v>0</v>
      </c>
      <c r="E658" s="131">
        <v>0</v>
      </c>
      <c r="F658" s="131"/>
      <c r="G658" s="131"/>
      <c r="H658" s="135">
        <v>0</v>
      </c>
      <c r="I658" s="86">
        <v>0</v>
      </c>
      <c r="J658" s="97"/>
      <c r="K658" s="146"/>
      <c r="L658" s="113"/>
    </row>
    <row r="659" spans="1:12" s="141" customFormat="1" ht="19.5" customHeight="1" hidden="1">
      <c r="A659" s="151"/>
      <c r="B659" s="146"/>
      <c r="C659" s="82">
        <v>2018</v>
      </c>
      <c r="D659" s="86">
        <f t="shared" si="68"/>
        <v>0</v>
      </c>
      <c r="E659" s="131">
        <v>0</v>
      </c>
      <c r="F659" s="131"/>
      <c r="G659" s="131"/>
      <c r="H659" s="135">
        <v>0</v>
      </c>
      <c r="I659" s="86">
        <v>0</v>
      </c>
      <c r="J659" s="97"/>
      <c r="K659" s="146"/>
      <c r="L659" s="113"/>
    </row>
    <row r="660" spans="1:12" s="141" customFormat="1" ht="19.5" customHeight="1" hidden="1">
      <c r="A660" s="151"/>
      <c r="B660" s="146"/>
      <c r="C660" s="82">
        <v>2019</v>
      </c>
      <c r="D660" s="86">
        <f t="shared" si="68"/>
        <v>0</v>
      </c>
      <c r="E660" s="131">
        <v>0</v>
      </c>
      <c r="F660" s="131"/>
      <c r="G660" s="131"/>
      <c r="H660" s="135">
        <v>0</v>
      </c>
      <c r="I660" s="86">
        <v>0</v>
      </c>
      <c r="J660" s="97"/>
      <c r="K660" s="146"/>
      <c r="L660" s="113"/>
    </row>
    <row r="661" spans="1:12" s="141" customFormat="1" ht="19.5" customHeight="1" hidden="1">
      <c r="A661" s="151"/>
      <c r="B661" s="146"/>
      <c r="C661" s="82">
        <v>2020</v>
      </c>
      <c r="D661" s="86">
        <f t="shared" si="68"/>
        <v>0</v>
      </c>
      <c r="E661" s="131">
        <v>0</v>
      </c>
      <c r="F661" s="131"/>
      <c r="G661" s="131"/>
      <c r="H661" s="135">
        <v>0</v>
      </c>
      <c r="I661" s="86">
        <v>0</v>
      </c>
      <c r="J661" s="97"/>
      <c r="K661" s="147"/>
      <c r="L661" s="113"/>
    </row>
    <row r="662" spans="1:12" s="141" customFormat="1" ht="19.5" customHeight="1" hidden="1">
      <c r="A662" s="151"/>
      <c r="B662" s="146"/>
      <c r="C662" s="82">
        <v>2021</v>
      </c>
      <c r="D662" s="86">
        <f t="shared" si="68"/>
        <v>0</v>
      </c>
      <c r="E662" s="131">
        <v>0</v>
      </c>
      <c r="F662" s="131"/>
      <c r="G662" s="131"/>
      <c r="H662" s="135">
        <v>0</v>
      </c>
      <c r="I662" s="86">
        <v>0</v>
      </c>
      <c r="J662" s="97"/>
      <c r="K662" s="146"/>
      <c r="L662" s="113"/>
    </row>
    <row r="663" spans="1:12" s="141" customFormat="1" ht="19.5" customHeight="1" hidden="1">
      <c r="A663" s="151"/>
      <c r="B663" s="146"/>
      <c r="C663" s="82">
        <v>2022</v>
      </c>
      <c r="D663" s="86">
        <f t="shared" si="68"/>
        <v>0</v>
      </c>
      <c r="E663" s="131">
        <v>0</v>
      </c>
      <c r="F663" s="131"/>
      <c r="G663" s="131"/>
      <c r="H663" s="135">
        <v>0</v>
      </c>
      <c r="I663" s="86">
        <v>0</v>
      </c>
      <c r="J663" s="97"/>
      <c r="K663" s="146"/>
      <c r="L663" s="113"/>
    </row>
    <row r="664" spans="1:12" s="141" customFormat="1" ht="19.5" customHeight="1" hidden="1">
      <c r="A664" s="151"/>
      <c r="B664" s="146"/>
      <c r="C664" s="82">
        <v>2023</v>
      </c>
      <c r="D664" s="86">
        <f t="shared" si="68"/>
        <v>0</v>
      </c>
      <c r="E664" s="131">
        <v>0</v>
      </c>
      <c r="F664" s="131"/>
      <c r="G664" s="131"/>
      <c r="H664" s="135">
        <v>0</v>
      </c>
      <c r="I664" s="86">
        <v>0</v>
      </c>
      <c r="J664" s="97"/>
      <c r="K664" s="146"/>
      <c r="L664" s="113"/>
    </row>
    <row r="665" spans="1:12" s="141" customFormat="1" ht="19.5" customHeight="1" hidden="1">
      <c r="A665" s="151"/>
      <c r="B665" s="95" t="s">
        <v>233</v>
      </c>
      <c r="C665" s="82">
        <v>2017</v>
      </c>
      <c r="D665" s="86">
        <f t="shared" si="68"/>
        <v>0</v>
      </c>
      <c r="E665" s="131">
        <v>0</v>
      </c>
      <c r="F665" s="131"/>
      <c r="G665" s="131"/>
      <c r="H665" s="135">
        <v>0</v>
      </c>
      <c r="I665" s="86">
        <v>0</v>
      </c>
      <c r="J665" s="97"/>
      <c r="K665" s="146"/>
      <c r="L665" s="113"/>
    </row>
    <row r="666" spans="1:12" s="141" customFormat="1" ht="19.5" customHeight="1" hidden="1">
      <c r="A666" s="151"/>
      <c r="B666" s="95"/>
      <c r="C666" s="82">
        <v>2023</v>
      </c>
      <c r="D666" s="86">
        <f t="shared" si="68"/>
        <v>0</v>
      </c>
      <c r="E666" s="131">
        <v>0</v>
      </c>
      <c r="F666" s="131"/>
      <c r="G666" s="131"/>
      <c r="H666" s="135">
        <v>0</v>
      </c>
      <c r="I666" s="86">
        <v>0</v>
      </c>
      <c r="J666" s="97"/>
      <c r="K666" s="146"/>
      <c r="L666" s="113"/>
    </row>
    <row r="667" spans="1:12" s="141" customFormat="1" ht="19.5" customHeight="1" hidden="1">
      <c r="A667" s="151"/>
      <c r="B667" s="95"/>
      <c r="C667" s="82">
        <v>2024</v>
      </c>
      <c r="D667" s="86">
        <f t="shared" si="68"/>
        <v>0</v>
      </c>
      <c r="E667" s="131">
        <v>0</v>
      </c>
      <c r="F667" s="131"/>
      <c r="G667" s="131"/>
      <c r="H667" s="135">
        <v>0</v>
      </c>
      <c r="I667" s="86">
        <v>0</v>
      </c>
      <c r="J667" s="97"/>
      <c r="K667" s="146"/>
      <c r="L667" s="113"/>
    </row>
    <row r="668" spans="1:12" s="141" customFormat="1" ht="19.5" customHeight="1" hidden="1">
      <c r="A668" s="151"/>
      <c r="B668" s="95"/>
      <c r="C668" s="118">
        <v>2025</v>
      </c>
      <c r="D668" s="152">
        <f t="shared" si="68"/>
        <v>0</v>
      </c>
      <c r="E668" s="153">
        <v>0</v>
      </c>
      <c r="F668" s="153"/>
      <c r="G668" s="153"/>
      <c r="H668" s="154">
        <v>0</v>
      </c>
      <c r="I668" s="152">
        <v>0</v>
      </c>
      <c r="J668" s="97"/>
      <c r="K668" s="146"/>
      <c r="L668" s="113"/>
    </row>
    <row r="669" spans="1:12" s="141" customFormat="1" ht="19.5" customHeight="1" hidden="1">
      <c r="A669" s="155" t="s">
        <v>234</v>
      </c>
      <c r="B669" s="95"/>
      <c r="C669" s="82">
        <v>2018</v>
      </c>
      <c r="D669" s="86">
        <v>0</v>
      </c>
      <c r="E669" s="131">
        <v>0</v>
      </c>
      <c r="F669" s="131"/>
      <c r="G669" s="131"/>
      <c r="H669" s="135">
        <v>0</v>
      </c>
      <c r="I669" s="86">
        <v>0</v>
      </c>
      <c r="J669" s="97"/>
      <c r="K669" s="146"/>
      <c r="L669" s="113"/>
    </row>
    <row r="670" spans="1:12" s="141" customFormat="1" ht="19.5" customHeight="1">
      <c r="A670" s="155"/>
      <c r="B670" s="95"/>
      <c r="C670" s="82">
        <v>2019</v>
      </c>
      <c r="D670" s="86">
        <v>0</v>
      </c>
      <c r="E670" s="131">
        <v>0</v>
      </c>
      <c r="F670" s="131"/>
      <c r="G670" s="131"/>
      <c r="H670" s="135">
        <v>0</v>
      </c>
      <c r="I670" s="86">
        <v>0</v>
      </c>
      <c r="J670" s="97"/>
      <c r="K670" s="146"/>
      <c r="L670" s="113"/>
    </row>
    <row r="671" spans="1:12" s="141" customFormat="1" ht="19.5" customHeight="1">
      <c r="A671" s="155"/>
      <c r="B671" s="95"/>
      <c r="C671" s="82">
        <v>2020</v>
      </c>
      <c r="D671" s="86">
        <f aca="true" t="shared" si="69" ref="D671:D676">I671</f>
        <v>730</v>
      </c>
      <c r="E671" s="131">
        <v>0</v>
      </c>
      <c r="F671" s="131"/>
      <c r="G671" s="131"/>
      <c r="H671" s="135">
        <v>0</v>
      </c>
      <c r="I671" s="86">
        <v>730</v>
      </c>
      <c r="J671" s="97"/>
      <c r="K671" s="146" t="s">
        <v>235</v>
      </c>
      <c r="L671" s="113"/>
    </row>
    <row r="672" spans="1:12" s="141" customFormat="1" ht="19.5" customHeight="1">
      <c r="A672" s="155"/>
      <c r="B672" s="95"/>
      <c r="C672" s="82">
        <v>2021</v>
      </c>
      <c r="D672" s="86">
        <f t="shared" si="69"/>
        <v>0</v>
      </c>
      <c r="E672" s="131">
        <v>0</v>
      </c>
      <c r="F672" s="131"/>
      <c r="G672" s="131"/>
      <c r="H672" s="135">
        <v>0</v>
      </c>
      <c r="I672" s="86">
        <v>0</v>
      </c>
      <c r="J672" s="97"/>
      <c r="K672" s="146"/>
      <c r="L672" s="113"/>
    </row>
    <row r="673" spans="1:12" s="141" customFormat="1" ht="19.5" customHeight="1">
      <c r="A673" s="155"/>
      <c r="B673" s="95"/>
      <c r="C673" s="82">
        <v>2022</v>
      </c>
      <c r="D673" s="86">
        <f t="shared" si="69"/>
        <v>0</v>
      </c>
      <c r="E673" s="131">
        <v>0</v>
      </c>
      <c r="F673" s="131"/>
      <c r="G673" s="131"/>
      <c r="H673" s="135">
        <v>0</v>
      </c>
      <c r="I673" s="86">
        <v>0</v>
      </c>
      <c r="J673" s="97"/>
      <c r="K673" s="146"/>
      <c r="L673" s="113"/>
    </row>
    <row r="674" spans="1:12" s="141" customFormat="1" ht="19.5" customHeight="1">
      <c r="A674" s="155"/>
      <c r="B674" s="95"/>
      <c r="C674" s="82">
        <v>2023</v>
      </c>
      <c r="D674" s="86">
        <f t="shared" si="69"/>
        <v>0</v>
      </c>
      <c r="E674" s="131">
        <v>0</v>
      </c>
      <c r="F674" s="131"/>
      <c r="G674" s="131"/>
      <c r="H674" s="135">
        <v>0</v>
      </c>
      <c r="I674" s="86">
        <v>0</v>
      </c>
      <c r="J674" s="97"/>
      <c r="K674" s="146"/>
      <c r="L674" s="113"/>
    </row>
    <row r="675" spans="1:12" s="141" customFormat="1" ht="19.5" customHeight="1">
      <c r="A675" s="155"/>
      <c r="B675" s="95"/>
      <c r="C675" s="82">
        <v>2024</v>
      </c>
      <c r="D675" s="86">
        <f t="shared" si="69"/>
        <v>0</v>
      </c>
      <c r="E675" s="131">
        <v>0</v>
      </c>
      <c r="F675" s="131"/>
      <c r="G675" s="131"/>
      <c r="H675" s="135">
        <v>0</v>
      </c>
      <c r="I675" s="86">
        <v>0</v>
      </c>
      <c r="J675" s="97"/>
      <c r="K675" s="146"/>
      <c r="L675" s="113"/>
    </row>
    <row r="676" spans="1:12" s="141" customFormat="1" ht="19.5" customHeight="1">
      <c r="A676" s="155"/>
      <c r="B676" s="95"/>
      <c r="C676" s="82">
        <v>2025</v>
      </c>
      <c r="D676" s="86">
        <f t="shared" si="69"/>
        <v>0</v>
      </c>
      <c r="E676" s="131">
        <v>0</v>
      </c>
      <c r="F676" s="131"/>
      <c r="G676" s="131"/>
      <c r="H676" s="135">
        <v>0</v>
      </c>
      <c r="I676" s="86">
        <v>0</v>
      </c>
      <c r="J676" s="97"/>
      <c r="K676" s="146"/>
      <c r="L676" s="113"/>
    </row>
    <row r="677" spans="1:12" s="141" customFormat="1" ht="19.5" customHeight="1">
      <c r="A677" s="150" t="s">
        <v>236</v>
      </c>
      <c r="B677" s="95" t="s">
        <v>237</v>
      </c>
      <c r="C677" s="82">
        <v>2017</v>
      </c>
      <c r="D677" s="86">
        <v>0</v>
      </c>
      <c r="E677" s="131">
        <v>0</v>
      </c>
      <c r="F677" s="131"/>
      <c r="G677" s="131"/>
      <c r="H677" s="135">
        <v>0</v>
      </c>
      <c r="I677" s="86">
        <v>0</v>
      </c>
      <c r="J677" s="97"/>
      <c r="K677" s="146"/>
      <c r="L677" s="113"/>
    </row>
    <row r="678" spans="1:12" s="141" customFormat="1" ht="19.5" customHeight="1">
      <c r="A678" s="150"/>
      <c r="B678" s="95"/>
      <c r="C678" s="82">
        <v>2018</v>
      </c>
      <c r="D678" s="86">
        <v>0</v>
      </c>
      <c r="E678" s="131">
        <v>0</v>
      </c>
      <c r="F678" s="131"/>
      <c r="G678" s="131"/>
      <c r="H678" s="135">
        <v>0</v>
      </c>
      <c r="I678" s="86">
        <v>0</v>
      </c>
      <c r="J678" s="97"/>
      <c r="K678" s="146"/>
      <c r="L678" s="113"/>
    </row>
    <row r="679" spans="1:12" s="141" customFormat="1" ht="19.5" customHeight="1">
      <c r="A679" s="150"/>
      <c r="B679" s="95"/>
      <c r="C679" s="82">
        <v>2019</v>
      </c>
      <c r="D679" s="86">
        <v>0</v>
      </c>
      <c r="E679" s="131">
        <v>0</v>
      </c>
      <c r="F679" s="131"/>
      <c r="G679" s="131"/>
      <c r="H679" s="135">
        <v>0</v>
      </c>
      <c r="I679" s="86">
        <v>0</v>
      </c>
      <c r="J679" s="97"/>
      <c r="K679" s="146"/>
      <c r="L679" s="113"/>
    </row>
    <row r="680" spans="1:12" s="141" customFormat="1" ht="19.5" customHeight="1">
      <c r="A680" s="150"/>
      <c r="B680" s="95"/>
      <c r="C680" s="82">
        <v>2020</v>
      </c>
      <c r="D680" s="86">
        <f aca="true" t="shared" si="70" ref="D680:D685">I680</f>
        <v>270</v>
      </c>
      <c r="E680" s="131">
        <v>0</v>
      </c>
      <c r="F680" s="131"/>
      <c r="G680" s="131"/>
      <c r="H680" s="135">
        <v>0</v>
      </c>
      <c r="I680" s="86">
        <f>270</f>
        <v>270</v>
      </c>
      <c r="J680" s="97"/>
      <c r="K680" s="146" t="s">
        <v>235</v>
      </c>
      <c r="L680" s="113"/>
    </row>
    <row r="681" spans="1:12" s="141" customFormat="1" ht="19.5" customHeight="1">
      <c r="A681" s="150"/>
      <c r="B681" s="95"/>
      <c r="C681" s="82">
        <v>2021</v>
      </c>
      <c r="D681" s="86">
        <f t="shared" si="70"/>
        <v>52.342</v>
      </c>
      <c r="E681" s="131">
        <v>0</v>
      </c>
      <c r="F681" s="131"/>
      <c r="G681" s="131"/>
      <c r="H681" s="135">
        <v>0</v>
      </c>
      <c r="I681" s="86">
        <v>52.342</v>
      </c>
      <c r="J681" s="97"/>
      <c r="K681" s="146"/>
      <c r="L681" s="113"/>
    </row>
    <row r="682" spans="1:12" s="141" customFormat="1" ht="19.5" customHeight="1">
      <c r="A682" s="150"/>
      <c r="B682" s="95"/>
      <c r="C682" s="82">
        <v>2022</v>
      </c>
      <c r="D682" s="86">
        <f t="shared" si="70"/>
        <v>0</v>
      </c>
      <c r="E682" s="131">
        <v>0</v>
      </c>
      <c r="F682" s="131"/>
      <c r="G682" s="131"/>
      <c r="H682" s="135">
        <v>0</v>
      </c>
      <c r="I682" s="86">
        <v>0</v>
      </c>
      <c r="J682" s="97"/>
      <c r="K682" s="146"/>
      <c r="L682" s="113"/>
    </row>
    <row r="683" spans="1:12" s="141" customFormat="1" ht="19.5" customHeight="1">
      <c r="A683" s="150"/>
      <c r="B683" s="95"/>
      <c r="C683" s="82">
        <v>2023</v>
      </c>
      <c r="D683" s="86">
        <f t="shared" si="70"/>
        <v>0</v>
      </c>
      <c r="E683" s="131">
        <v>0</v>
      </c>
      <c r="F683" s="131"/>
      <c r="G683" s="131"/>
      <c r="H683" s="135">
        <v>0</v>
      </c>
      <c r="I683" s="86">
        <v>0</v>
      </c>
      <c r="J683" s="97"/>
      <c r="K683" s="146"/>
      <c r="L683" s="113"/>
    </row>
    <row r="684" spans="1:12" s="141" customFormat="1" ht="19.5" customHeight="1">
      <c r="A684" s="150"/>
      <c r="B684" s="95"/>
      <c r="C684" s="82">
        <v>2024</v>
      </c>
      <c r="D684" s="86">
        <f t="shared" si="70"/>
        <v>0</v>
      </c>
      <c r="E684" s="131">
        <v>0</v>
      </c>
      <c r="F684" s="131"/>
      <c r="G684" s="131"/>
      <c r="H684" s="135">
        <v>0</v>
      </c>
      <c r="I684" s="86">
        <v>0</v>
      </c>
      <c r="J684" s="97"/>
      <c r="K684" s="146"/>
      <c r="L684" s="113"/>
    </row>
    <row r="685" spans="1:12" s="141" customFormat="1" ht="19.5" customHeight="1">
      <c r="A685" s="150"/>
      <c r="B685" s="95"/>
      <c r="C685" s="82">
        <v>2025</v>
      </c>
      <c r="D685" s="86">
        <f t="shared" si="70"/>
        <v>0</v>
      </c>
      <c r="E685" s="131">
        <v>0</v>
      </c>
      <c r="F685" s="131"/>
      <c r="G685" s="131"/>
      <c r="H685" s="135">
        <v>0</v>
      </c>
      <c r="I685" s="86">
        <v>0</v>
      </c>
      <c r="J685" s="97"/>
      <c r="K685" s="146"/>
      <c r="L685" s="113"/>
    </row>
    <row r="686" spans="1:12" s="141" customFormat="1" ht="19.5" customHeight="1">
      <c r="A686" s="150" t="s">
        <v>238</v>
      </c>
      <c r="B686" s="95" t="s">
        <v>239</v>
      </c>
      <c r="C686" s="82">
        <v>2017</v>
      </c>
      <c r="D686" s="86">
        <v>0</v>
      </c>
      <c r="E686" s="131">
        <v>0</v>
      </c>
      <c r="F686" s="131"/>
      <c r="G686" s="131"/>
      <c r="H686" s="135">
        <v>0</v>
      </c>
      <c r="I686" s="86">
        <v>0</v>
      </c>
      <c r="J686" s="97"/>
      <c r="K686" s="146"/>
      <c r="L686" s="113"/>
    </row>
    <row r="687" spans="1:12" s="141" customFormat="1" ht="19.5" customHeight="1">
      <c r="A687" s="150"/>
      <c r="B687" s="95"/>
      <c r="C687" s="82">
        <v>2018</v>
      </c>
      <c r="D687" s="86">
        <v>0</v>
      </c>
      <c r="E687" s="131">
        <v>0</v>
      </c>
      <c r="F687" s="131"/>
      <c r="G687" s="131"/>
      <c r="H687" s="135">
        <v>0</v>
      </c>
      <c r="I687" s="86">
        <v>0</v>
      </c>
      <c r="J687" s="97"/>
      <c r="K687" s="146"/>
      <c r="L687" s="113"/>
    </row>
    <row r="688" spans="1:12" s="141" customFormat="1" ht="19.5" customHeight="1">
      <c r="A688" s="150"/>
      <c r="B688" s="95"/>
      <c r="C688" s="82">
        <v>2019</v>
      </c>
      <c r="D688" s="86">
        <v>0</v>
      </c>
      <c r="E688" s="131">
        <v>0</v>
      </c>
      <c r="F688" s="131"/>
      <c r="G688" s="131"/>
      <c r="H688" s="135">
        <v>0</v>
      </c>
      <c r="I688" s="86">
        <v>0</v>
      </c>
      <c r="J688" s="97"/>
      <c r="K688" s="146"/>
      <c r="L688" s="113"/>
    </row>
    <row r="689" spans="1:12" s="141" customFormat="1" ht="19.5" customHeight="1">
      <c r="A689" s="150"/>
      <c r="B689" s="95"/>
      <c r="C689" s="82">
        <v>2020</v>
      </c>
      <c r="D689" s="86">
        <f aca="true" t="shared" si="71" ref="D689:D694">I689</f>
        <v>103.99</v>
      </c>
      <c r="E689" s="131">
        <v>0</v>
      </c>
      <c r="F689" s="131"/>
      <c r="G689" s="131"/>
      <c r="H689" s="135">
        <v>0</v>
      </c>
      <c r="I689" s="86">
        <v>103.99</v>
      </c>
      <c r="J689" s="97"/>
      <c r="K689" s="146" t="s">
        <v>100</v>
      </c>
      <c r="L689" s="113"/>
    </row>
    <row r="690" spans="1:12" s="141" customFormat="1" ht="19.5" customHeight="1">
      <c r="A690" s="150"/>
      <c r="B690" s="95"/>
      <c r="C690" s="82">
        <v>2021</v>
      </c>
      <c r="D690" s="86">
        <f t="shared" si="71"/>
        <v>0</v>
      </c>
      <c r="E690" s="131">
        <v>0</v>
      </c>
      <c r="F690" s="131"/>
      <c r="G690" s="131"/>
      <c r="H690" s="135">
        <v>0</v>
      </c>
      <c r="I690" s="86">
        <v>0</v>
      </c>
      <c r="J690" s="97"/>
      <c r="K690" s="146"/>
      <c r="L690" s="113"/>
    </row>
    <row r="691" spans="1:12" s="141" customFormat="1" ht="19.5" customHeight="1">
      <c r="A691" s="150"/>
      <c r="B691" s="95"/>
      <c r="C691" s="82">
        <v>2022</v>
      </c>
      <c r="D691" s="86">
        <f t="shared" si="71"/>
        <v>0</v>
      </c>
      <c r="E691" s="131">
        <v>0</v>
      </c>
      <c r="F691" s="131"/>
      <c r="G691" s="131"/>
      <c r="H691" s="135">
        <v>0</v>
      </c>
      <c r="I691" s="86">
        <v>0</v>
      </c>
      <c r="J691" s="97"/>
      <c r="K691" s="146"/>
      <c r="L691" s="113"/>
    </row>
    <row r="692" spans="1:12" s="141" customFormat="1" ht="19.5" customHeight="1">
      <c r="A692" s="150"/>
      <c r="B692" s="95"/>
      <c r="C692" s="82">
        <v>2023</v>
      </c>
      <c r="D692" s="86">
        <f t="shared" si="71"/>
        <v>0</v>
      </c>
      <c r="E692" s="131">
        <v>0</v>
      </c>
      <c r="F692" s="131"/>
      <c r="G692" s="131"/>
      <c r="H692" s="135">
        <v>0</v>
      </c>
      <c r="I692" s="135">
        <v>0</v>
      </c>
      <c r="J692" s="97"/>
      <c r="K692" s="146"/>
      <c r="L692" s="113"/>
    </row>
    <row r="693" spans="1:12" s="141" customFormat="1" ht="19.5" customHeight="1">
      <c r="A693" s="150"/>
      <c r="B693" s="95"/>
      <c r="C693" s="82">
        <v>2024</v>
      </c>
      <c r="D693" s="86">
        <f t="shared" si="71"/>
        <v>0</v>
      </c>
      <c r="E693" s="131">
        <v>0</v>
      </c>
      <c r="F693" s="131"/>
      <c r="G693" s="131"/>
      <c r="H693" s="135">
        <v>0</v>
      </c>
      <c r="I693" s="135">
        <v>0</v>
      </c>
      <c r="J693" s="97"/>
      <c r="K693" s="146"/>
      <c r="L693" s="113"/>
    </row>
    <row r="694" spans="1:12" s="141" customFormat="1" ht="19.5" customHeight="1">
      <c r="A694" s="150"/>
      <c r="B694" s="95"/>
      <c r="C694" s="82">
        <v>2025</v>
      </c>
      <c r="D694" s="86">
        <f t="shared" si="71"/>
        <v>0</v>
      </c>
      <c r="E694" s="131">
        <v>0</v>
      </c>
      <c r="F694" s="131"/>
      <c r="G694" s="131"/>
      <c r="H694" s="135">
        <v>0</v>
      </c>
      <c r="I694" s="135">
        <v>0</v>
      </c>
      <c r="J694" s="97"/>
      <c r="K694" s="146"/>
      <c r="L694" s="113"/>
    </row>
    <row r="695" spans="1:12" s="141" customFormat="1" ht="19.5" customHeight="1">
      <c r="A695" s="150" t="s">
        <v>240</v>
      </c>
      <c r="B695" s="95" t="s">
        <v>241</v>
      </c>
      <c r="C695" s="82">
        <v>2017</v>
      </c>
      <c r="D695" s="86">
        <v>0</v>
      </c>
      <c r="E695" s="131">
        <v>0</v>
      </c>
      <c r="F695" s="131"/>
      <c r="G695" s="131"/>
      <c r="H695" s="135">
        <v>0</v>
      </c>
      <c r="I695" s="86">
        <v>0</v>
      </c>
      <c r="J695" s="97"/>
      <c r="K695" s="146"/>
      <c r="L695" s="113"/>
    </row>
    <row r="696" spans="1:12" s="141" customFormat="1" ht="19.5" customHeight="1">
      <c r="A696" s="150"/>
      <c r="B696" s="95"/>
      <c r="C696" s="82">
        <v>2018</v>
      </c>
      <c r="D696" s="86">
        <v>0</v>
      </c>
      <c r="E696" s="131">
        <v>0</v>
      </c>
      <c r="F696" s="131"/>
      <c r="G696" s="131"/>
      <c r="H696" s="135">
        <v>0</v>
      </c>
      <c r="I696" s="86">
        <v>0</v>
      </c>
      <c r="J696" s="97"/>
      <c r="K696" s="146"/>
      <c r="L696" s="113"/>
    </row>
    <row r="697" spans="1:12" s="141" customFormat="1" ht="19.5" customHeight="1">
      <c r="A697" s="150"/>
      <c r="B697" s="95"/>
      <c r="C697" s="82">
        <v>2019</v>
      </c>
      <c r="D697" s="86">
        <v>0</v>
      </c>
      <c r="E697" s="131">
        <v>0</v>
      </c>
      <c r="F697" s="131"/>
      <c r="G697" s="131"/>
      <c r="H697" s="135">
        <v>0</v>
      </c>
      <c r="I697" s="86">
        <v>0</v>
      </c>
      <c r="J697" s="97"/>
      <c r="K697" s="146"/>
      <c r="L697" s="113"/>
    </row>
    <row r="698" spans="1:12" s="141" customFormat="1" ht="19.5" customHeight="1">
      <c r="A698" s="150"/>
      <c r="B698" s="95"/>
      <c r="C698" s="82">
        <v>2020</v>
      </c>
      <c r="D698" s="86">
        <f aca="true" t="shared" si="72" ref="D698:D703">I698</f>
        <v>71</v>
      </c>
      <c r="E698" s="131">
        <v>0</v>
      </c>
      <c r="F698" s="131"/>
      <c r="G698" s="131"/>
      <c r="H698" s="135">
        <v>0</v>
      </c>
      <c r="I698" s="86">
        <f>25+4+40+2</f>
        <v>71</v>
      </c>
      <c r="J698" s="97"/>
      <c r="K698" s="146" t="s">
        <v>218</v>
      </c>
      <c r="L698" s="113"/>
    </row>
    <row r="699" spans="1:12" s="141" customFormat="1" ht="19.5" customHeight="1">
      <c r="A699" s="150"/>
      <c r="B699" s="95"/>
      <c r="C699" s="82">
        <v>2021</v>
      </c>
      <c r="D699" s="86">
        <f t="shared" si="72"/>
        <v>0</v>
      </c>
      <c r="E699" s="131">
        <v>0</v>
      </c>
      <c r="F699" s="131"/>
      <c r="G699" s="131"/>
      <c r="H699" s="135">
        <v>0</v>
      </c>
      <c r="I699" s="86">
        <v>0</v>
      </c>
      <c r="J699" s="97"/>
      <c r="K699" s="146"/>
      <c r="L699" s="113"/>
    </row>
    <row r="700" spans="1:12" s="141" customFormat="1" ht="19.5" customHeight="1">
      <c r="A700" s="150"/>
      <c r="B700" s="95"/>
      <c r="C700" s="82">
        <v>2022</v>
      </c>
      <c r="D700" s="86">
        <f t="shared" si="72"/>
        <v>0</v>
      </c>
      <c r="E700" s="131">
        <v>0</v>
      </c>
      <c r="F700" s="131"/>
      <c r="G700" s="131"/>
      <c r="H700" s="135">
        <v>0</v>
      </c>
      <c r="I700" s="86">
        <v>0</v>
      </c>
      <c r="J700" s="97"/>
      <c r="K700" s="146"/>
      <c r="L700" s="113"/>
    </row>
    <row r="701" spans="1:12" s="141" customFormat="1" ht="19.5" customHeight="1">
      <c r="A701" s="150"/>
      <c r="B701" s="95"/>
      <c r="C701" s="82">
        <v>2023</v>
      </c>
      <c r="D701" s="86">
        <f t="shared" si="72"/>
        <v>0</v>
      </c>
      <c r="E701" s="131">
        <v>0</v>
      </c>
      <c r="F701" s="131"/>
      <c r="G701" s="131"/>
      <c r="H701" s="135">
        <v>0</v>
      </c>
      <c r="I701" s="86">
        <v>0</v>
      </c>
      <c r="J701" s="97"/>
      <c r="K701" s="146"/>
      <c r="L701" s="113"/>
    </row>
    <row r="702" spans="1:12" s="141" customFormat="1" ht="19.5" customHeight="1">
      <c r="A702" s="150"/>
      <c r="B702" s="95"/>
      <c r="C702" s="82">
        <v>2024</v>
      </c>
      <c r="D702" s="86">
        <f t="shared" si="72"/>
        <v>0</v>
      </c>
      <c r="E702" s="131">
        <v>0</v>
      </c>
      <c r="F702" s="131"/>
      <c r="G702" s="131"/>
      <c r="H702" s="135">
        <v>0</v>
      </c>
      <c r="I702" s="86">
        <v>0</v>
      </c>
      <c r="J702" s="97"/>
      <c r="K702" s="146"/>
      <c r="L702" s="113"/>
    </row>
    <row r="703" spans="1:12" s="141" customFormat="1" ht="19.5" customHeight="1">
      <c r="A703" s="150"/>
      <c r="B703" s="95"/>
      <c r="C703" s="82">
        <v>2025</v>
      </c>
      <c r="D703" s="86">
        <f t="shared" si="72"/>
        <v>0</v>
      </c>
      <c r="E703" s="131">
        <v>0</v>
      </c>
      <c r="F703" s="131"/>
      <c r="G703" s="131"/>
      <c r="H703" s="135">
        <v>0</v>
      </c>
      <c r="I703" s="86">
        <v>0</v>
      </c>
      <c r="J703" s="97"/>
      <c r="K703" s="146"/>
      <c r="L703" s="113"/>
    </row>
    <row r="704" spans="1:12" s="141" customFormat="1" ht="19.5" customHeight="1">
      <c r="A704" s="150" t="s">
        <v>242</v>
      </c>
      <c r="B704" s="95" t="s">
        <v>243</v>
      </c>
      <c r="C704" s="82">
        <v>2017</v>
      </c>
      <c r="D704" s="86">
        <v>0</v>
      </c>
      <c r="E704" s="131">
        <v>0</v>
      </c>
      <c r="F704" s="131"/>
      <c r="G704" s="131"/>
      <c r="H704" s="135">
        <v>0</v>
      </c>
      <c r="I704" s="86">
        <v>0</v>
      </c>
      <c r="J704" s="97"/>
      <c r="K704" s="146"/>
      <c r="L704" s="113"/>
    </row>
    <row r="705" spans="1:12" s="141" customFormat="1" ht="19.5" customHeight="1">
      <c r="A705" s="150"/>
      <c r="B705" s="95"/>
      <c r="C705" s="82">
        <v>2018</v>
      </c>
      <c r="D705" s="86">
        <v>0</v>
      </c>
      <c r="E705" s="131">
        <v>0</v>
      </c>
      <c r="F705" s="131"/>
      <c r="G705" s="131"/>
      <c r="H705" s="135">
        <v>0</v>
      </c>
      <c r="I705" s="86">
        <v>0</v>
      </c>
      <c r="J705" s="97"/>
      <c r="K705" s="146"/>
      <c r="L705" s="113"/>
    </row>
    <row r="706" spans="1:12" s="141" customFormat="1" ht="19.5" customHeight="1">
      <c r="A706" s="150"/>
      <c r="B706" s="95"/>
      <c r="C706" s="82">
        <v>2019</v>
      </c>
      <c r="D706" s="86">
        <v>0</v>
      </c>
      <c r="E706" s="131">
        <v>0</v>
      </c>
      <c r="F706" s="131"/>
      <c r="G706" s="131"/>
      <c r="H706" s="135">
        <v>0</v>
      </c>
      <c r="I706" s="86">
        <v>0</v>
      </c>
      <c r="J706" s="97"/>
      <c r="K706" s="146"/>
      <c r="L706" s="113"/>
    </row>
    <row r="707" spans="1:12" s="141" customFormat="1" ht="19.5" customHeight="1">
      <c r="A707" s="150"/>
      <c r="B707" s="95"/>
      <c r="C707" s="82">
        <v>2020</v>
      </c>
      <c r="D707" s="86">
        <f aca="true" t="shared" si="73" ref="D707:D711">I707</f>
        <v>563.8043</v>
      </c>
      <c r="E707" s="131">
        <v>0</v>
      </c>
      <c r="F707" s="131"/>
      <c r="G707" s="131"/>
      <c r="H707" s="135">
        <v>0</v>
      </c>
      <c r="I707" s="86">
        <f>773.323-200.353-9.1657</f>
        <v>563.8043</v>
      </c>
      <c r="J707" s="97"/>
      <c r="K707" s="146" t="s">
        <v>184</v>
      </c>
      <c r="L707" s="113"/>
    </row>
    <row r="708" spans="1:12" s="141" customFormat="1" ht="19.5" customHeight="1">
      <c r="A708" s="150"/>
      <c r="B708" s="95"/>
      <c r="C708" s="82">
        <v>2021</v>
      </c>
      <c r="D708" s="86">
        <f t="shared" si="73"/>
        <v>0</v>
      </c>
      <c r="E708" s="131">
        <v>0</v>
      </c>
      <c r="F708" s="131"/>
      <c r="G708" s="131"/>
      <c r="H708" s="135">
        <v>0</v>
      </c>
      <c r="I708" s="86">
        <v>0</v>
      </c>
      <c r="J708" s="97"/>
      <c r="K708" s="156"/>
      <c r="L708" s="113"/>
    </row>
    <row r="709" spans="1:12" s="141" customFormat="1" ht="19.5" customHeight="1">
      <c r="A709" s="150"/>
      <c r="B709" s="95"/>
      <c r="C709" s="82">
        <v>2022</v>
      </c>
      <c r="D709" s="86">
        <f t="shared" si="73"/>
        <v>0</v>
      </c>
      <c r="E709" s="131">
        <v>0</v>
      </c>
      <c r="F709" s="131"/>
      <c r="G709" s="131"/>
      <c r="H709" s="135">
        <v>0</v>
      </c>
      <c r="I709" s="86">
        <v>0</v>
      </c>
      <c r="J709" s="97"/>
      <c r="K709" s="146"/>
      <c r="L709" s="113"/>
    </row>
    <row r="710" spans="1:12" s="141" customFormat="1" ht="19.5" customHeight="1">
      <c r="A710" s="150"/>
      <c r="B710" s="95"/>
      <c r="C710" s="82">
        <v>2023</v>
      </c>
      <c r="D710" s="86">
        <f t="shared" si="73"/>
        <v>0</v>
      </c>
      <c r="E710" s="131">
        <v>0</v>
      </c>
      <c r="F710" s="131"/>
      <c r="G710" s="131"/>
      <c r="H710" s="135">
        <v>0</v>
      </c>
      <c r="I710" s="86">
        <v>0</v>
      </c>
      <c r="J710" s="97"/>
      <c r="K710" s="146"/>
      <c r="L710" s="113"/>
    </row>
    <row r="711" spans="1:12" s="141" customFormat="1" ht="19.5" customHeight="1">
      <c r="A711" s="150"/>
      <c r="B711" s="95"/>
      <c r="C711" s="82">
        <v>2024</v>
      </c>
      <c r="D711" s="86">
        <f t="shared" si="73"/>
        <v>0</v>
      </c>
      <c r="E711" s="131">
        <v>0</v>
      </c>
      <c r="F711" s="131"/>
      <c r="G711" s="131"/>
      <c r="H711" s="135">
        <v>0</v>
      </c>
      <c r="I711" s="86">
        <v>0</v>
      </c>
      <c r="J711" s="97"/>
      <c r="K711" s="146"/>
      <c r="L711" s="113"/>
    </row>
    <row r="712" spans="1:12" s="141" customFormat="1" ht="19.5" customHeight="1">
      <c r="A712" s="150"/>
      <c r="B712" s="95"/>
      <c r="C712" s="82">
        <v>2025</v>
      </c>
      <c r="D712" s="86">
        <v>0</v>
      </c>
      <c r="E712" s="131">
        <v>0</v>
      </c>
      <c r="F712" s="131"/>
      <c r="G712" s="131"/>
      <c r="H712" s="135">
        <v>0</v>
      </c>
      <c r="I712" s="86">
        <v>0</v>
      </c>
      <c r="J712" s="97"/>
      <c r="K712" s="146"/>
      <c r="L712" s="113"/>
    </row>
    <row r="713" spans="1:12" s="141" customFormat="1" ht="19.5" customHeight="1">
      <c r="A713" s="150" t="s">
        <v>244</v>
      </c>
      <c r="B713" s="95" t="s">
        <v>245</v>
      </c>
      <c r="C713" s="82">
        <v>2017</v>
      </c>
      <c r="D713" s="86">
        <v>0</v>
      </c>
      <c r="E713" s="131">
        <v>0</v>
      </c>
      <c r="F713" s="131"/>
      <c r="G713" s="131"/>
      <c r="H713" s="135">
        <v>0</v>
      </c>
      <c r="I713" s="86">
        <v>0</v>
      </c>
      <c r="J713" s="97"/>
      <c r="K713" s="146"/>
      <c r="L713" s="113"/>
    </row>
    <row r="714" spans="1:12" s="141" customFormat="1" ht="19.5" customHeight="1">
      <c r="A714" s="150"/>
      <c r="B714" s="95"/>
      <c r="C714" s="82">
        <v>2018</v>
      </c>
      <c r="D714" s="86">
        <v>0</v>
      </c>
      <c r="E714" s="131">
        <v>0</v>
      </c>
      <c r="F714" s="131"/>
      <c r="G714" s="131"/>
      <c r="H714" s="135">
        <v>0</v>
      </c>
      <c r="I714" s="86">
        <v>0</v>
      </c>
      <c r="J714" s="97"/>
      <c r="K714" s="146"/>
      <c r="L714" s="113"/>
    </row>
    <row r="715" spans="1:12" s="141" customFormat="1" ht="19.5" customHeight="1">
      <c r="A715" s="150"/>
      <c r="B715" s="95"/>
      <c r="C715" s="82">
        <v>2019</v>
      </c>
      <c r="D715" s="86">
        <v>0</v>
      </c>
      <c r="E715" s="131">
        <v>0</v>
      </c>
      <c r="F715" s="131"/>
      <c r="G715" s="131"/>
      <c r="H715" s="135">
        <v>0</v>
      </c>
      <c r="I715" s="86">
        <v>0</v>
      </c>
      <c r="J715" s="97"/>
      <c r="K715" s="146"/>
      <c r="L715" s="113"/>
    </row>
    <row r="716" spans="1:12" s="141" customFormat="1" ht="19.5" customHeight="1">
      <c r="A716" s="150"/>
      <c r="B716" s="95"/>
      <c r="C716" s="82">
        <v>2020</v>
      </c>
      <c r="D716" s="86">
        <f aca="true" t="shared" si="74" ref="D716:D721">I716</f>
        <v>1398.7672</v>
      </c>
      <c r="E716" s="131">
        <v>0</v>
      </c>
      <c r="F716" s="131"/>
      <c r="G716" s="131"/>
      <c r="H716" s="135">
        <v>0</v>
      </c>
      <c r="I716" s="86">
        <f>1214.677+200.353-16.2628</f>
        <v>1398.7672</v>
      </c>
      <c r="J716" s="97"/>
      <c r="K716" s="146" t="s">
        <v>184</v>
      </c>
      <c r="L716" s="113"/>
    </row>
    <row r="717" spans="1:12" s="141" customFormat="1" ht="19.5" customHeight="1">
      <c r="A717" s="150"/>
      <c r="B717" s="95"/>
      <c r="C717" s="82">
        <v>2021</v>
      </c>
      <c r="D717" s="86">
        <f t="shared" si="74"/>
        <v>0</v>
      </c>
      <c r="E717" s="131">
        <v>0</v>
      </c>
      <c r="F717" s="131"/>
      <c r="G717" s="131"/>
      <c r="H717" s="135">
        <v>0</v>
      </c>
      <c r="I717" s="86">
        <v>0</v>
      </c>
      <c r="J717" s="97"/>
      <c r="K717" s="146"/>
      <c r="L717" s="113"/>
    </row>
    <row r="718" spans="1:12" s="141" customFormat="1" ht="19.5" customHeight="1">
      <c r="A718" s="150"/>
      <c r="B718" s="95"/>
      <c r="C718" s="82">
        <v>2022</v>
      </c>
      <c r="D718" s="86">
        <f t="shared" si="74"/>
        <v>0</v>
      </c>
      <c r="E718" s="131">
        <v>0</v>
      </c>
      <c r="F718" s="131"/>
      <c r="G718" s="131"/>
      <c r="H718" s="135">
        <v>0</v>
      </c>
      <c r="I718" s="86">
        <v>0</v>
      </c>
      <c r="J718" s="97"/>
      <c r="K718" s="146"/>
      <c r="L718" s="113"/>
    </row>
    <row r="719" spans="1:12" s="141" customFormat="1" ht="19.5" customHeight="1">
      <c r="A719" s="150"/>
      <c r="B719" s="95"/>
      <c r="C719" s="82">
        <v>2023</v>
      </c>
      <c r="D719" s="86">
        <f t="shared" si="74"/>
        <v>0</v>
      </c>
      <c r="E719" s="131">
        <v>0</v>
      </c>
      <c r="F719" s="131"/>
      <c r="G719" s="131"/>
      <c r="H719" s="135">
        <v>0</v>
      </c>
      <c r="I719" s="86">
        <v>0</v>
      </c>
      <c r="J719" s="97"/>
      <c r="K719" s="146"/>
      <c r="L719" s="113"/>
    </row>
    <row r="720" spans="1:12" s="141" customFormat="1" ht="19.5" customHeight="1">
      <c r="A720" s="150"/>
      <c r="B720" s="95"/>
      <c r="C720" s="82">
        <v>2024</v>
      </c>
      <c r="D720" s="86">
        <f t="shared" si="74"/>
        <v>0</v>
      </c>
      <c r="E720" s="131">
        <v>0</v>
      </c>
      <c r="F720" s="131"/>
      <c r="G720" s="131"/>
      <c r="H720" s="135">
        <v>0</v>
      </c>
      <c r="I720" s="86">
        <v>0</v>
      </c>
      <c r="J720" s="97"/>
      <c r="K720" s="146"/>
      <c r="L720" s="113"/>
    </row>
    <row r="721" spans="1:12" s="141" customFormat="1" ht="19.5" customHeight="1">
      <c r="A721" s="150"/>
      <c r="B721" s="95"/>
      <c r="C721" s="82">
        <v>2025</v>
      </c>
      <c r="D721" s="86">
        <f t="shared" si="74"/>
        <v>0</v>
      </c>
      <c r="E721" s="131">
        <v>0</v>
      </c>
      <c r="F721" s="131"/>
      <c r="G721" s="131"/>
      <c r="H721" s="135">
        <v>0</v>
      </c>
      <c r="I721" s="86">
        <v>0</v>
      </c>
      <c r="J721" s="97"/>
      <c r="K721" s="146"/>
      <c r="L721" s="113"/>
    </row>
    <row r="722" spans="1:12" s="141" customFormat="1" ht="19.5" customHeight="1">
      <c r="A722" s="150" t="s">
        <v>246</v>
      </c>
      <c r="B722" s="95" t="s">
        <v>247</v>
      </c>
      <c r="C722" s="82">
        <v>2017</v>
      </c>
      <c r="D722" s="86">
        <v>0</v>
      </c>
      <c r="E722" s="131">
        <v>0</v>
      </c>
      <c r="F722" s="131"/>
      <c r="G722" s="131"/>
      <c r="H722" s="135">
        <v>0</v>
      </c>
      <c r="I722" s="86">
        <v>0</v>
      </c>
      <c r="J722" s="97"/>
      <c r="K722" s="146"/>
      <c r="L722" s="113"/>
    </row>
    <row r="723" spans="1:12" s="141" customFormat="1" ht="19.5" customHeight="1">
      <c r="A723" s="150"/>
      <c r="B723" s="95"/>
      <c r="C723" s="82">
        <v>2018</v>
      </c>
      <c r="D723" s="86">
        <v>0</v>
      </c>
      <c r="E723" s="131">
        <v>0</v>
      </c>
      <c r="F723" s="131"/>
      <c r="G723" s="131"/>
      <c r="H723" s="135">
        <v>0</v>
      </c>
      <c r="I723" s="86">
        <v>0</v>
      </c>
      <c r="J723" s="97"/>
      <c r="K723" s="146"/>
      <c r="L723" s="113"/>
    </row>
    <row r="724" spans="1:12" s="141" customFormat="1" ht="19.5" customHeight="1">
      <c r="A724" s="150"/>
      <c r="B724" s="95"/>
      <c r="C724" s="82">
        <v>2019</v>
      </c>
      <c r="D724" s="86">
        <v>0</v>
      </c>
      <c r="E724" s="131">
        <v>0</v>
      </c>
      <c r="F724" s="131"/>
      <c r="G724" s="131"/>
      <c r="H724" s="135">
        <v>0</v>
      </c>
      <c r="I724" s="86">
        <v>0</v>
      </c>
      <c r="J724" s="97"/>
      <c r="K724" s="146"/>
      <c r="L724" s="113"/>
    </row>
    <row r="725" spans="1:12" s="141" customFormat="1" ht="19.5" customHeight="1">
      <c r="A725" s="150"/>
      <c r="B725" s="95"/>
      <c r="C725" s="82">
        <v>2020</v>
      </c>
      <c r="D725" s="86">
        <f aca="true" t="shared" si="75" ref="D725:D730">I725</f>
        <v>427.256</v>
      </c>
      <c r="E725" s="131">
        <v>0</v>
      </c>
      <c r="F725" s="131"/>
      <c r="G725" s="131"/>
      <c r="H725" s="135">
        <v>0</v>
      </c>
      <c r="I725" s="86">
        <v>427.256</v>
      </c>
      <c r="J725" s="97"/>
      <c r="K725" s="146" t="s">
        <v>248</v>
      </c>
      <c r="L725" s="113"/>
    </row>
    <row r="726" spans="1:12" s="141" customFormat="1" ht="19.5" customHeight="1">
      <c r="A726" s="150"/>
      <c r="B726" s="95"/>
      <c r="C726" s="82">
        <v>2021</v>
      </c>
      <c r="D726" s="86">
        <f t="shared" si="75"/>
        <v>0</v>
      </c>
      <c r="E726" s="131">
        <v>0</v>
      </c>
      <c r="F726" s="131"/>
      <c r="G726" s="131"/>
      <c r="H726" s="135">
        <v>0</v>
      </c>
      <c r="I726" s="86">
        <v>0</v>
      </c>
      <c r="J726" s="97"/>
      <c r="K726" s="146"/>
      <c r="L726" s="113"/>
    </row>
    <row r="727" spans="1:12" s="141" customFormat="1" ht="19.5" customHeight="1">
      <c r="A727" s="150"/>
      <c r="B727" s="95"/>
      <c r="C727" s="82">
        <v>2022</v>
      </c>
      <c r="D727" s="86">
        <f t="shared" si="75"/>
        <v>0</v>
      </c>
      <c r="E727" s="131">
        <v>0</v>
      </c>
      <c r="F727" s="131"/>
      <c r="G727" s="131"/>
      <c r="H727" s="135">
        <v>0</v>
      </c>
      <c r="I727" s="86">
        <v>0</v>
      </c>
      <c r="J727" s="97"/>
      <c r="K727" s="146"/>
      <c r="L727" s="113"/>
    </row>
    <row r="728" spans="1:12" s="141" customFormat="1" ht="19.5" customHeight="1">
      <c r="A728" s="150"/>
      <c r="B728" s="95"/>
      <c r="C728" s="82">
        <v>2023</v>
      </c>
      <c r="D728" s="86">
        <f t="shared" si="75"/>
        <v>0</v>
      </c>
      <c r="E728" s="131">
        <v>0</v>
      </c>
      <c r="F728" s="131"/>
      <c r="G728" s="131"/>
      <c r="H728" s="135">
        <v>0</v>
      </c>
      <c r="I728" s="86">
        <v>0</v>
      </c>
      <c r="J728" s="97"/>
      <c r="K728" s="146"/>
      <c r="L728" s="113"/>
    </row>
    <row r="729" spans="1:12" s="141" customFormat="1" ht="19.5" customHeight="1">
      <c r="A729" s="150"/>
      <c r="B729" s="95"/>
      <c r="C729" s="82">
        <v>2024</v>
      </c>
      <c r="D729" s="86">
        <f t="shared" si="75"/>
        <v>0</v>
      </c>
      <c r="E729" s="131">
        <v>0</v>
      </c>
      <c r="F729" s="131"/>
      <c r="G729" s="131"/>
      <c r="H729" s="135">
        <v>0</v>
      </c>
      <c r="I729" s="86">
        <v>0</v>
      </c>
      <c r="J729" s="97"/>
      <c r="K729" s="146"/>
      <c r="L729" s="113"/>
    </row>
    <row r="730" spans="1:12" s="141" customFormat="1" ht="19.5" customHeight="1">
      <c r="A730" s="150"/>
      <c r="B730" s="95"/>
      <c r="C730" s="82">
        <v>2025</v>
      </c>
      <c r="D730" s="86">
        <f t="shared" si="75"/>
        <v>0</v>
      </c>
      <c r="E730" s="131">
        <v>0</v>
      </c>
      <c r="F730" s="131"/>
      <c r="G730" s="131"/>
      <c r="H730" s="135">
        <v>0</v>
      </c>
      <c r="I730" s="86">
        <v>0</v>
      </c>
      <c r="J730" s="97"/>
      <c r="K730" s="146"/>
      <c r="L730" s="113"/>
    </row>
    <row r="731" spans="1:12" s="141" customFormat="1" ht="19.5" customHeight="1">
      <c r="A731" s="150" t="s">
        <v>249</v>
      </c>
      <c r="B731" s="95" t="s">
        <v>250</v>
      </c>
      <c r="C731" s="82">
        <v>2017</v>
      </c>
      <c r="D731" s="86">
        <v>0</v>
      </c>
      <c r="E731" s="131">
        <v>0</v>
      </c>
      <c r="F731" s="131"/>
      <c r="G731" s="131"/>
      <c r="H731" s="135">
        <v>0</v>
      </c>
      <c r="I731" s="86">
        <v>0</v>
      </c>
      <c r="J731" s="97"/>
      <c r="K731" s="146"/>
      <c r="L731" s="113"/>
    </row>
    <row r="732" spans="1:12" s="141" customFormat="1" ht="19.5" customHeight="1">
      <c r="A732" s="150"/>
      <c r="B732" s="95"/>
      <c r="C732" s="82">
        <v>2018</v>
      </c>
      <c r="D732" s="86">
        <v>0</v>
      </c>
      <c r="E732" s="131">
        <v>0</v>
      </c>
      <c r="F732" s="131"/>
      <c r="G732" s="131"/>
      <c r="H732" s="135">
        <v>0</v>
      </c>
      <c r="I732" s="86">
        <v>0</v>
      </c>
      <c r="J732" s="97"/>
      <c r="K732" s="146"/>
      <c r="L732" s="113"/>
    </row>
    <row r="733" spans="1:12" s="141" customFormat="1" ht="19.5" customHeight="1">
      <c r="A733" s="150"/>
      <c r="B733" s="95"/>
      <c r="C733" s="82">
        <v>2019</v>
      </c>
      <c r="D733" s="86">
        <v>0</v>
      </c>
      <c r="E733" s="131">
        <v>0</v>
      </c>
      <c r="F733" s="131"/>
      <c r="G733" s="131"/>
      <c r="H733" s="135">
        <v>0</v>
      </c>
      <c r="I733" s="86">
        <v>0</v>
      </c>
      <c r="J733" s="97"/>
      <c r="K733" s="146"/>
      <c r="L733" s="113"/>
    </row>
    <row r="734" spans="1:12" s="141" customFormat="1" ht="19.5" customHeight="1">
      <c r="A734" s="150"/>
      <c r="B734" s="95"/>
      <c r="C734" s="82">
        <v>2020</v>
      </c>
      <c r="D734" s="86">
        <f aca="true" t="shared" si="76" ref="D734:D739">I734</f>
        <v>664.25376</v>
      </c>
      <c r="E734" s="131">
        <v>0</v>
      </c>
      <c r="F734" s="131"/>
      <c r="G734" s="131"/>
      <c r="H734" s="135">
        <v>0</v>
      </c>
      <c r="I734" s="86">
        <f>664.25376</f>
        <v>664.25376</v>
      </c>
      <c r="J734" s="97"/>
      <c r="K734" s="146" t="s">
        <v>248</v>
      </c>
      <c r="L734" s="113"/>
    </row>
    <row r="735" spans="1:12" s="141" customFormat="1" ht="19.5" customHeight="1">
      <c r="A735" s="150"/>
      <c r="B735" s="95"/>
      <c r="C735" s="82">
        <v>2021</v>
      </c>
      <c r="D735" s="86">
        <f t="shared" si="76"/>
        <v>0</v>
      </c>
      <c r="E735" s="131">
        <v>0</v>
      </c>
      <c r="F735" s="131"/>
      <c r="G735" s="131"/>
      <c r="H735" s="135">
        <v>0</v>
      </c>
      <c r="I735" s="86">
        <v>0</v>
      </c>
      <c r="J735" s="97"/>
      <c r="K735" s="146"/>
      <c r="L735" s="113"/>
    </row>
    <row r="736" spans="1:12" s="141" customFormat="1" ht="19.5" customHeight="1">
      <c r="A736" s="150"/>
      <c r="B736" s="95"/>
      <c r="C736" s="82">
        <v>2022</v>
      </c>
      <c r="D736" s="86">
        <f t="shared" si="76"/>
        <v>0</v>
      </c>
      <c r="E736" s="131">
        <v>0</v>
      </c>
      <c r="F736" s="131"/>
      <c r="G736" s="131"/>
      <c r="H736" s="135">
        <v>0</v>
      </c>
      <c r="I736" s="86">
        <v>0</v>
      </c>
      <c r="J736" s="97"/>
      <c r="K736" s="146"/>
      <c r="L736" s="113"/>
    </row>
    <row r="737" spans="1:12" s="141" customFormat="1" ht="19.5" customHeight="1">
      <c r="A737" s="150"/>
      <c r="B737" s="95"/>
      <c r="C737" s="82">
        <v>2023</v>
      </c>
      <c r="D737" s="86">
        <f t="shared" si="76"/>
        <v>0</v>
      </c>
      <c r="E737" s="131">
        <v>0</v>
      </c>
      <c r="F737" s="131"/>
      <c r="G737" s="131"/>
      <c r="H737" s="135">
        <v>0</v>
      </c>
      <c r="I737" s="157">
        <v>0</v>
      </c>
      <c r="J737" s="97"/>
      <c r="K737" s="146"/>
      <c r="L737" s="113"/>
    </row>
    <row r="738" spans="1:12" s="141" customFormat="1" ht="19.5" customHeight="1">
      <c r="A738" s="150"/>
      <c r="B738" s="95"/>
      <c r="C738" s="82">
        <v>2024</v>
      </c>
      <c r="D738" s="86">
        <f t="shared" si="76"/>
        <v>0</v>
      </c>
      <c r="E738" s="131">
        <v>0</v>
      </c>
      <c r="F738" s="131"/>
      <c r="G738" s="131"/>
      <c r="H738" s="135">
        <v>0</v>
      </c>
      <c r="I738" s="86">
        <v>0</v>
      </c>
      <c r="J738" s="97"/>
      <c r="K738" s="146"/>
      <c r="L738" s="113"/>
    </row>
    <row r="739" spans="1:12" s="141" customFormat="1" ht="19.5" customHeight="1">
      <c r="A739" s="150"/>
      <c r="B739" s="95"/>
      <c r="C739" s="82">
        <v>2025</v>
      </c>
      <c r="D739" s="86">
        <f t="shared" si="76"/>
        <v>0</v>
      </c>
      <c r="E739" s="131">
        <v>0</v>
      </c>
      <c r="F739" s="131"/>
      <c r="G739" s="131"/>
      <c r="H739" s="135">
        <v>0</v>
      </c>
      <c r="I739" s="86">
        <v>0</v>
      </c>
      <c r="J739" s="97"/>
      <c r="K739" s="146"/>
      <c r="L739" s="113"/>
    </row>
    <row r="740" spans="1:12" s="141" customFormat="1" ht="19.5" customHeight="1">
      <c r="A740" s="150" t="s">
        <v>251</v>
      </c>
      <c r="B740" s="95" t="s">
        <v>252</v>
      </c>
      <c r="C740" s="82">
        <v>2017</v>
      </c>
      <c r="D740" s="86">
        <v>0</v>
      </c>
      <c r="E740" s="131">
        <v>0</v>
      </c>
      <c r="F740" s="131"/>
      <c r="G740" s="131"/>
      <c r="H740" s="135">
        <v>0</v>
      </c>
      <c r="I740" s="86">
        <v>0</v>
      </c>
      <c r="J740" s="97"/>
      <c r="K740" s="146"/>
      <c r="L740" s="113"/>
    </row>
    <row r="741" spans="1:12" s="141" customFormat="1" ht="19.5" customHeight="1">
      <c r="A741" s="150"/>
      <c r="B741" s="95"/>
      <c r="C741" s="82">
        <v>2018</v>
      </c>
      <c r="D741" s="86">
        <v>0</v>
      </c>
      <c r="E741" s="131">
        <v>0</v>
      </c>
      <c r="F741" s="131"/>
      <c r="G741" s="131"/>
      <c r="H741" s="135">
        <v>0</v>
      </c>
      <c r="I741" s="86">
        <v>0</v>
      </c>
      <c r="J741" s="97"/>
      <c r="K741" s="146"/>
      <c r="L741" s="113"/>
    </row>
    <row r="742" spans="1:12" s="141" customFormat="1" ht="19.5" customHeight="1">
      <c r="A742" s="150"/>
      <c r="B742" s="95"/>
      <c r="C742" s="82">
        <v>2019</v>
      </c>
      <c r="D742" s="86">
        <v>0</v>
      </c>
      <c r="E742" s="131">
        <v>0</v>
      </c>
      <c r="F742" s="131"/>
      <c r="G742" s="131"/>
      <c r="H742" s="135">
        <v>0</v>
      </c>
      <c r="I742" s="86">
        <v>0</v>
      </c>
      <c r="J742" s="97"/>
      <c r="K742" s="146"/>
      <c r="L742" s="113"/>
    </row>
    <row r="743" spans="1:12" s="141" customFormat="1" ht="19.5" customHeight="1">
      <c r="A743" s="150"/>
      <c r="B743" s="95"/>
      <c r="C743" s="82">
        <v>2020</v>
      </c>
      <c r="D743" s="86">
        <f aca="true" t="shared" si="77" ref="D743:D748">I743</f>
        <v>0</v>
      </c>
      <c r="E743" s="131">
        <v>0</v>
      </c>
      <c r="F743" s="131"/>
      <c r="G743" s="131"/>
      <c r="H743" s="135">
        <v>0</v>
      </c>
      <c r="I743" s="86">
        <v>0</v>
      </c>
      <c r="J743" s="97"/>
      <c r="K743" s="146"/>
      <c r="L743" s="113"/>
    </row>
    <row r="744" spans="1:12" s="141" customFormat="1" ht="19.5" customHeight="1">
      <c r="A744" s="150"/>
      <c r="B744" s="95"/>
      <c r="C744" s="82">
        <v>2021</v>
      </c>
      <c r="D744" s="86">
        <f t="shared" si="77"/>
        <v>35.234</v>
      </c>
      <c r="E744" s="131">
        <v>0</v>
      </c>
      <c r="F744" s="131"/>
      <c r="G744" s="131"/>
      <c r="H744" s="135">
        <v>0</v>
      </c>
      <c r="I744" s="86">
        <v>35.234</v>
      </c>
      <c r="J744" s="97"/>
      <c r="K744" s="146" t="s">
        <v>122</v>
      </c>
      <c r="L744" s="113"/>
    </row>
    <row r="745" spans="1:12" s="141" customFormat="1" ht="19.5" customHeight="1">
      <c r="A745" s="150"/>
      <c r="B745" s="95"/>
      <c r="C745" s="82">
        <v>2022</v>
      </c>
      <c r="D745" s="86">
        <f t="shared" si="77"/>
        <v>0</v>
      </c>
      <c r="E745" s="131">
        <v>0</v>
      </c>
      <c r="F745" s="131"/>
      <c r="G745" s="131"/>
      <c r="H745" s="135">
        <v>0</v>
      </c>
      <c r="I745" s="86">
        <v>0</v>
      </c>
      <c r="J745" s="97"/>
      <c r="K745" s="146"/>
      <c r="L745" s="113"/>
    </row>
    <row r="746" spans="1:12" s="141" customFormat="1" ht="19.5" customHeight="1">
      <c r="A746" s="150"/>
      <c r="B746" s="95"/>
      <c r="C746" s="82">
        <v>2023</v>
      </c>
      <c r="D746" s="86">
        <f t="shared" si="77"/>
        <v>0</v>
      </c>
      <c r="E746" s="131">
        <v>0</v>
      </c>
      <c r="F746" s="131"/>
      <c r="G746" s="131"/>
      <c r="H746" s="135">
        <v>0</v>
      </c>
      <c r="I746" s="86">
        <v>0</v>
      </c>
      <c r="J746" s="97"/>
      <c r="K746" s="146"/>
      <c r="L746" s="113"/>
    </row>
    <row r="747" spans="1:12" s="141" customFormat="1" ht="19.5" customHeight="1">
      <c r="A747" s="150"/>
      <c r="B747" s="95"/>
      <c r="C747" s="82">
        <v>2024</v>
      </c>
      <c r="D747" s="86">
        <f t="shared" si="77"/>
        <v>0</v>
      </c>
      <c r="E747" s="131">
        <v>0</v>
      </c>
      <c r="F747" s="131"/>
      <c r="G747" s="131"/>
      <c r="H747" s="135">
        <v>0</v>
      </c>
      <c r="I747" s="86">
        <v>0</v>
      </c>
      <c r="J747" s="97"/>
      <c r="K747" s="146"/>
      <c r="L747" s="113"/>
    </row>
    <row r="748" spans="1:12" s="141" customFormat="1" ht="19.5" customHeight="1">
      <c r="A748" s="150"/>
      <c r="B748" s="95"/>
      <c r="C748" s="82">
        <v>2025</v>
      </c>
      <c r="D748" s="86">
        <f t="shared" si="77"/>
        <v>0</v>
      </c>
      <c r="E748" s="131">
        <v>0</v>
      </c>
      <c r="F748" s="131"/>
      <c r="G748" s="131"/>
      <c r="H748" s="135">
        <v>0</v>
      </c>
      <c r="I748" s="86">
        <v>0</v>
      </c>
      <c r="J748" s="97"/>
      <c r="K748" s="146"/>
      <c r="L748" s="113"/>
    </row>
    <row r="749" spans="1:12" s="141" customFormat="1" ht="19.5" customHeight="1">
      <c r="A749" s="150" t="s">
        <v>253</v>
      </c>
      <c r="B749" s="95" t="s">
        <v>254</v>
      </c>
      <c r="C749" s="82">
        <v>2017</v>
      </c>
      <c r="D749" s="86">
        <v>0</v>
      </c>
      <c r="E749" s="131">
        <v>0</v>
      </c>
      <c r="F749" s="131"/>
      <c r="G749" s="131"/>
      <c r="H749" s="135">
        <v>0</v>
      </c>
      <c r="I749" s="86">
        <v>0</v>
      </c>
      <c r="J749" s="97"/>
      <c r="K749" s="146"/>
      <c r="L749" s="113"/>
    </row>
    <row r="750" spans="1:12" s="141" customFormat="1" ht="19.5" customHeight="1">
      <c r="A750" s="150"/>
      <c r="B750" s="95"/>
      <c r="C750" s="82">
        <v>2018</v>
      </c>
      <c r="D750" s="86">
        <v>0</v>
      </c>
      <c r="E750" s="131">
        <v>0</v>
      </c>
      <c r="F750" s="131"/>
      <c r="G750" s="131"/>
      <c r="H750" s="135">
        <v>0</v>
      </c>
      <c r="I750" s="86">
        <v>0</v>
      </c>
      <c r="J750" s="97"/>
      <c r="K750" s="146"/>
      <c r="L750" s="113"/>
    </row>
    <row r="751" spans="1:12" s="141" customFormat="1" ht="19.5" customHeight="1">
      <c r="A751" s="150"/>
      <c r="B751" s="95"/>
      <c r="C751" s="82">
        <v>2019</v>
      </c>
      <c r="D751" s="86">
        <v>0</v>
      </c>
      <c r="E751" s="131">
        <v>0</v>
      </c>
      <c r="F751" s="131"/>
      <c r="G751" s="131"/>
      <c r="H751" s="135">
        <v>0</v>
      </c>
      <c r="I751" s="86">
        <v>0</v>
      </c>
      <c r="J751" s="97"/>
      <c r="K751" s="146"/>
      <c r="L751" s="113"/>
    </row>
    <row r="752" spans="1:12" s="141" customFormat="1" ht="19.5" customHeight="1">
      <c r="A752" s="150"/>
      <c r="B752" s="95"/>
      <c r="C752" s="82">
        <v>2020</v>
      </c>
      <c r="D752" s="86">
        <f>I752+H752</f>
        <v>105.7</v>
      </c>
      <c r="E752" s="131">
        <v>0</v>
      </c>
      <c r="F752" s="131"/>
      <c r="G752" s="131"/>
      <c r="H752" s="135">
        <v>0</v>
      </c>
      <c r="I752" s="86">
        <f>105.7</f>
        <v>105.7</v>
      </c>
      <c r="J752" s="137"/>
      <c r="K752" s="146" t="s">
        <v>125</v>
      </c>
      <c r="L752" s="113"/>
    </row>
    <row r="753" spans="1:12" s="141" customFormat="1" ht="19.5" customHeight="1">
      <c r="A753" s="150"/>
      <c r="B753" s="95"/>
      <c r="C753" s="82">
        <v>2021</v>
      </c>
      <c r="D753" s="86">
        <f aca="true" t="shared" si="78" ref="D753:D757">I753</f>
        <v>348.009</v>
      </c>
      <c r="E753" s="131">
        <v>0</v>
      </c>
      <c r="F753" s="131"/>
      <c r="G753" s="131"/>
      <c r="H753" s="135">
        <v>0</v>
      </c>
      <c r="I753" s="86">
        <v>348.009</v>
      </c>
      <c r="J753" s="97"/>
      <c r="K753" s="146"/>
      <c r="L753" s="113"/>
    </row>
    <row r="754" spans="1:12" s="141" customFormat="1" ht="19.5" customHeight="1">
      <c r="A754" s="150"/>
      <c r="B754" s="95"/>
      <c r="C754" s="82">
        <v>2022</v>
      </c>
      <c r="D754" s="86">
        <f t="shared" si="78"/>
        <v>0</v>
      </c>
      <c r="E754" s="131">
        <v>0</v>
      </c>
      <c r="F754" s="131"/>
      <c r="G754" s="131"/>
      <c r="H754" s="135">
        <v>0</v>
      </c>
      <c r="I754" s="86">
        <v>0</v>
      </c>
      <c r="J754" s="97"/>
      <c r="K754" s="146"/>
      <c r="L754" s="113"/>
    </row>
    <row r="755" spans="1:12" s="141" customFormat="1" ht="19.5" customHeight="1">
      <c r="A755" s="150"/>
      <c r="B755" s="95"/>
      <c r="C755" s="82">
        <v>2023</v>
      </c>
      <c r="D755" s="86">
        <f t="shared" si="78"/>
        <v>0</v>
      </c>
      <c r="E755" s="131">
        <v>0</v>
      </c>
      <c r="F755" s="131"/>
      <c r="G755" s="131"/>
      <c r="H755" s="135">
        <v>0</v>
      </c>
      <c r="I755" s="86">
        <v>0</v>
      </c>
      <c r="J755" s="97"/>
      <c r="K755" s="146"/>
      <c r="L755" s="113"/>
    </row>
    <row r="756" spans="1:12" s="141" customFormat="1" ht="19.5" customHeight="1">
      <c r="A756" s="150"/>
      <c r="B756" s="95"/>
      <c r="C756" s="82">
        <v>2024</v>
      </c>
      <c r="D756" s="86">
        <f t="shared" si="78"/>
        <v>0</v>
      </c>
      <c r="E756" s="131">
        <v>0</v>
      </c>
      <c r="F756" s="131"/>
      <c r="G756" s="131"/>
      <c r="H756" s="135">
        <v>0</v>
      </c>
      <c r="I756" s="86">
        <v>0</v>
      </c>
      <c r="J756" s="97"/>
      <c r="K756" s="146"/>
      <c r="L756" s="113"/>
    </row>
    <row r="757" spans="1:12" s="141" customFormat="1" ht="19.5" customHeight="1">
      <c r="A757" s="150"/>
      <c r="B757" s="95"/>
      <c r="C757" s="82">
        <v>2025</v>
      </c>
      <c r="D757" s="86">
        <f t="shared" si="78"/>
        <v>0</v>
      </c>
      <c r="E757" s="131">
        <v>0</v>
      </c>
      <c r="F757" s="131"/>
      <c r="G757" s="131"/>
      <c r="H757" s="135">
        <v>0</v>
      </c>
      <c r="I757" s="86">
        <v>0</v>
      </c>
      <c r="J757" s="97"/>
      <c r="K757" s="146"/>
      <c r="L757" s="113"/>
    </row>
    <row r="758" spans="1:12" s="141" customFormat="1" ht="19.5" customHeight="1">
      <c r="A758" s="150" t="s">
        <v>255</v>
      </c>
      <c r="B758" s="95" t="s">
        <v>256</v>
      </c>
      <c r="C758" s="82">
        <v>2017</v>
      </c>
      <c r="D758" s="86">
        <v>0</v>
      </c>
      <c r="E758" s="131">
        <v>0</v>
      </c>
      <c r="F758" s="131"/>
      <c r="G758" s="131"/>
      <c r="H758" s="135">
        <v>0</v>
      </c>
      <c r="I758" s="86">
        <v>0</v>
      </c>
      <c r="J758" s="97"/>
      <c r="K758" s="146"/>
      <c r="L758" s="113"/>
    </row>
    <row r="759" spans="1:12" s="141" customFormat="1" ht="19.5" customHeight="1">
      <c r="A759" s="150"/>
      <c r="B759" s="95"/>
      <c r="C759" s="82">
        <v>2018</v>
      </c>
      <c r="D759" s="86">
        <v>0</v>
      </c>
      <c r="E759" s="131">
        <v>0</v>
      </c>
      <c r="F759" s="131"/>
      <c r="G759" s="131"/>
      <c r="H759" s="135">
        <v>0</v>
      </c>
      <c r="I759" s="86">
        <v>0</v>
      </c>
      <c r="J759" s="97"/>
      <c r="K759" s="146"/>
      <c r="L759" s="113"/>
    </row>
    <row r="760" spans="1:12" s="141" customFormat="1" ht="19.5" customHeight="1">
      <c r="A760" s="150"/>
      <c r="B760" s="95"/>
      <c r="C760" s="82">
        <v>2019</v>
      </c>
      <c r="D760" s="86">
        <v>0</v>
      </c>
      <c r="E760" s="131">
        <v>0</v>
      </c>
      <c r="F760" s="131"/>
      <c r="G760" s="131"/>
      <c r="H760" s="135">
        <v>0</v>
      </c>
      <c r="I760" s="86">
        <v>0</v>
      </c>
      <c r="J760" s="97"/>
      <c r="K760" s="146"/>
      <c r="L760" s="113"/>
    </row>
    <row r="761" spans="1:12" s="141" customFormat="1" ht="19.5" customHeight="1">
      <c r="A761" s="150"/>
      <c r="B761" s="95"/>
      <c r="C761" s="82">
        <v>2020</v>
      </c>
      <c r="D761" s="86">
        <f aca="true" t="shared" si="79" ref="D761:D766">I761</f>
        <v>94.589</v>
      </c>
      <c r="E761" s="131">
        <v>0</v>
      </c>
      <c r="F761" s="131"/>
      <c r="G761" s="131"/>
      <c r="H761" s="135">
        <v>0</v>
      </c>
      <c r="I761" s="86">
        <v>94.589</v>
      </c>
      <c r="J761" s="97"/>
      <c r="K761" s="146" t="s">
        <v>122</v>
      </c>
      <c r="L761" s="113"/>
    </row>
    <row r="762" spans="1:12" s="141" customFormat="1" ht="19.5" customHeight="1">
      <c r="A762" s="150"/>
      <c r="B762" s="95"/>
      <c r="C762" s="82">
        <v>2021</v>
      </c>
      <c r="D762" s="86">
        <f t="shared" si="79"/>
        <v>0</v>
      </c>
      <c r="E762" s="131">
        <v>0</v>
      </c>
      <c r="F762" s="131"/>
      <c r="G762" s="131"/>
      <c r="H762" s="135">
        <v>0</v>
      </c>
      <c r="I762" s="86">
        <v>0</v>
      </c>
      <c r="J762" s="97"/>
      <c r="K762" s="146"/>
      <c r="L762" s="113"/>
    </row>
    <row r="763" spans="1:12" s="141" customFormat="1" ht="19.5" customHeight="1">
      <c r="A763" s="150"/>
      <c r="B763" s="95"/>
      <c r="C763" s="82">
        <v>2022</v>
      </c>
      <c r="D763" s="86">
        <f t="shared" si="79"/>
        <v>0</v>
      </c>
      <c r="E763" s="131">
        <v>0</v>
      </c>
      <c r="F763" s="131"/>
      <c r="G763" s="131"/>
      <c r="H763" s="135">
        <v>0</v>
      </c>
      <c r="I763" s="86">
        <v>0</v>
      </c>
      <c r="J763" s="97"/>
      <c r="K763" s="146"/>
      <c r="L763" s="113"/>
    </row>
    <row r="764" spans="1:12" s="141" customFormat="1" ht="19.5" customHeight="1">
      <c r="A764" s="150"/>
      <c r="B764" s="95"/>
      <c r="C764" s="82">
        <v>2023</v>
      </c>
      <c r="D764" s="86">
        <f t="shared" si="79"/>
        <v>0</v>
      </c>
      <c r="E764" s="131">
        <v>0</v>
      </c>
      <c r="F764" s="131"/>
      <c r="G764" s="131"/>
      <c r="H764" s="135">
        <v>0</v>
      </c>
      <c r="I764" s="86">
        <v>0</v>
      </c>
      <c r="J764" s="97"/>
      <c r="K764" s="146"/>
      <c r="L764" s="113"/>
    </row>
    <row r="765" spans="1:12" s="141" customFormat="1" ht="19.5" customHeight="1">
      <c r="A765" s="150"/>
      <c r="B765" s="95"/>
      <c r="C765" s="82">
        <v>2024</v>
      </c>
      <c r="D765" s="86">
        <f t="shared" si="79"/>
        <v>0</v>
      </c>
      <c r="E765" s="131">
        <v>0</v>
      </c>
      <c r="F765" s="131"/>
      <c r="G765" s="131"/>
      <c r="H765" s="135">
        <v>0</v>
      </c>
      <c r="I765" s="86">
        <v>0</v>
      </c>
      <c r="J765" s="97"/>
      <c r="K765" s="146"/>
      <c r="L765" s="113"/>
    </row>
    <row r="766" spans="1:12" s="141" customFormat="1" ht="19.5" customHeight="1">
      <c r="A766" s="150"/>
      <c r="B766" s="95"/>
      <c r="C766" s="82">
        <v>2025</v>
      </c>
      <c r="D766" s="86">
        <f t="shared" si="79"/>
        <v>0</v>
      </c>
      <c r="E766" s="131">
        <v>0</v>
      </c>
      <c r="F766" s="131"/>
      <c r="G766" s="131"/>
      <c r="H766" s="135">
        <v>0</v>
      </c>
      <c r="I766" s="86">
        <v>0</v>
      </c>
      <c r="J766" s="97"/>
      <c r="K766" s="146"/>
      <c r="L766" s="113"/>
    </row>
    <row r="767" spans="1:12" s="141" customFormat="1" ht="19.5" customHeight="1">
      <c r="A767" s="150" t="s">
        <v>257</v>
      </c>
      <c r="B767" s="95" t="s">
        <v>258</v>
      </c>
      <c r="C767" s="82">
        <v>2017</v>
      </c>
      <c r="D767" s="86">
        <v>0</v>
      </c>
      <c r="E767" s="131">
        <v>0</v>
      </c>
      <c r="F767" s="131"/>
      <c r="G767" s="131"/>
      <c r="H767" s="135">
        <v>0</v>
      </c>
      <c r="I767" s="86">
        <v>0</v>
      </c>
      <c r="J767" s="97"/>
      <c r="K767" s="146"/>
      <c r="L767" s="113"/>
    </row>
    <row r="768" spans="1:12" s="141" customFormat="1" ht="19.5" customHeight="1">
      <c r="A768" s="150"/>
      <c r="B768" s="95"/>
      <c r="C768" s="82">
        <v>2018</v>
      </c>
      <c r="D768" s="86">
        <v>0</v>
      </c>
      <c r="E768" s="131">
        <v>0</v>
      </c>
      <c r="F768" s="131"/>
      <c r="G768" s="131"/>
      <c r="H768" s="135">
        <v>0</v>
      </c>
      <c r="I768" s="86">
        <v>0</v>
      </c>
      <c r="J768" s="97"/>
      <c r="K768" s="146"/>
      <c r="L768" s="113"/>
    </row>
    <row r="769" spans="1:12" s="141" customFormat="1" ht="19.5" customHeight="1">
      <c r="A769" s="150"/>
      <c r="B769" s="95"/>
      <c r="C769" s="82">
        <v>2019</v>
      </c>
      <c r="D769" s="86">
        <v>0</v>
      </c>
      <c r="E769" s="131">
        <v>0</v>
      </c>
      <c r="F769" s="131"/>
      <c r="G769" s="131"/>
      <c r="H769" s="135">
        <v>0</v>
      </c>
      <c r="I769" s="86">
        <v>0</v>
      </c>
      <c r="J769" s="97"/>
      <c r="K769" s="146"/>
      <c r="L769" s="113"/>
    </row>
    <row r="770" spans="1:12" s="141" customFormat="1" ht="19.5" customHeight="1">
      <c r="A770" s="150"/>
      <c r="B770" s="95"/>
      <c r="C770" s="82">
        <v>2020</v>
      </c>
      <c r="D770" s="86">
        <f aca="true" t="shared" si="80" ref="D770:D775">I770</f>
        <v>100</v>
      </c>
      <c r="E770" s="131">
        <v>0</v>
      </c>
      <c r="F770" s="131"/>
      <c r="G770" s="131"/>
      <c r="H770" s="135">
        <v>0</v>
      </c>
      <c r="I770" s="86">
        <v>100</v>
      </c>
      <c r="J770" s="97"/>
      <c r="K770" s="146" t="s">
        <v>134</v>
      </c>
      <c r="L770" s="113"/>
    </row>
    <row r="771" spans="1:12" s="141" customFormat="1" ht="19.5" customHeight="1">
      <c r="A771" s="150"/>
      <c r="B771" s="95"/>
      <c r="C771" s="82">
        <v>2021</v>
      </c>
      <c r="D771" s="86">
        <f t="shared" si="80"/>
        <v>0</v>
      </c>
      <c r="E771" s="131">
        <v>0</v>
      </c>
      <c r="F771" s="131"/>
      <c r="G771" s="131"/>
      <c r="H771" s="135">
        <v>0</v>
      </c>
      <c r="I771" s="86">
        <v>0</v>
      </c>
      <c r="J771" s="97"/>
      <c r="K771" s="146"/>
      <c r="L771" s="113"/>
    </row>
    <row r="772" spans="1:12" s="141" customFormat="1" ht="19.5" customHeight="1">
      <c r="A772" s="150"/>
      <c r="B772" s="95"/>
      <c r="C772" s="82">
        <v>2022</v>
      </c>
      <c r="D772" s="86">
        <f t="shared" si="80"/>
        <v>0</v>
      </c>
      <c r="E772" s="131">
        <v>0</v>
      </c>
      <c r="F772" s="131"/>
      <c r="G772" s="131"/>
      <c r="H772" s="135">
        <v>0</v>
      </c>
      <c r="I772" s="86">
        <v>0</v>
      </c>
      <c r="J772" s="97"/>
      <c r="K772" s="146"/>
      <c r="L772" s="113"/>
    </row>
    <row r="773" spans="1:12" s="141" customFormat="1" ht="19.5" customHeight="1">
      <c r="A773" s="150"/>
      <c r="B773" s="95"/>
      <c r="C773" s="82">
        <v>2023</v>
      </c>
      <c r="D773" s="86">
        <f t="shared" si="80"/>
        <v>0</v>
      </c>
      <c r="E773" s="131">
        <v>0</v>
      </c>
      <c r="F773" s="131"/>
      <c r="G773" s="131"/>
      <c r="H773" s="135">
        <v>0</v>
      </c>
      <c r="I773" s="86">
        <v>0</v>
      </c>
      <c r="J773" s="97"/>
      <c r="K773" s="146"/>
      <c r="L773" s="113"/>
    </row>
    <row r="774" spans="1:12" s="141" customFormat="1" ht="19.5" customHeight="1">
      <c r="A774" s="150"/>
      <c r="B774" s="95"/>
      <c r="C774" s="82">
        <v>2024</v>
      </c>
      <c r="D774" s="86">
        <f t="shared" si="80"/>
        <v>0</v>
      </c>
      <c r="E774" s="131">
        <v>0</v>
      </c>
      <c r="F774" s="131"/>
      <c r="G774" s="131"/>
      <c r="H774" s="135">
        <v>0</v>
      </c>
      <c r="I774" s="86">
        <v>0</v>
      </c>
      <c r="J774" s="97"/>
      <c r="K774" s="146"/>
      <c r="L774" s="113"/>
    </row>
    <row r="775" spans="1:12" s="141" customFormat="1" ht="19.5" customHeight="1">
      <c r="A775" s="150"/>
      <c r="B775" s="95"/>
      <c r="C775" s="82">
        <v>2025</v>
      </c>
      <c r="D775" s="86">
        <f t="shared" si="80"/>
        <v>0</v>
      </c>
      <c r="E775" s="131">
        <v>0</v>
      </c>
      <c r="F775" s="131"/>
      <c r="G775" s="131"/>
      <c r="H775" s="135">
        <v>0</v>
      </c>
      <c r="I775" s="86">
        <v>0</v>
      </c>
      <c r="J775" s="97"/>
      <c r="K775" s="146"/>
      <c r="L775" s="113"/>
    </row>
    <row r="776" spans="1:12" s="141" customFormat="1" ht="19.5" customHeight="1">
      <c r="A776" s="150" t="s">
        <v>259</v>
      </c>
      <c r="B776" s="95" t="s">
        <v>260</v>
      </c>
      <c r="C776" s="82">
        <v>2017</v>
      </c>
      <c r="D776" s="86">
        <v>0</v>
      </c>
      <c r="E776" s="131">
        <v>0</v>
      </c>
      <c r="F776" s="131"/>
      <c r="G776" s="131"/>
      <c r="H776" s="135">
        <v>0</v>
      </c>
      <c r="I776" s="86">
        <v>0</v>
      </c>
      <c r="J776" s="97"/>
      <c r="K776" s="146"/>
      <c r="L776" s="113"/>
    </row>
    <row r="777" spans="1:12" s="141" customFormat="1" ht="19.5" customHeight="1">
      <c r="A777" s="150"/>
      <c r="B777" s="95"/>
      <c r="C777" s="82">
        <v>2018</v>
      </c>
      <c r="D777" s="86">
        <v>0</v>
      </c>
      <c r="E777" s="131">
        <v>0</v>
      </c>
      <c r="F777" s="131"/>
      <c r="G777" s="131"/>
      <c r="H777" s="135">
        <v>0</v>
      </c>
      <c r="I777" s="86">
        <v>0</v>
      </c>
      <c r="J777" s="97"/>
      <c r="K777" s="146"/>
      <c r="L777" s="113"/>
    </row>
    <row r="778" spans="1:12" s="141" customFormat="1" ht="19.5" customHeight="1">
      <c r="A778" s="150"/>
      <c r="B778" s="95"/>
      <c r="C778" s="82">
        <v>2019</v>
      </c>
      <c r="D778" s="86">
        <v>0</v>
      </c>
      <c r="E778" s="131">
        <v>0</v>
      </c>
      <c r="F778" s="131"/>
      <c r="G778" s="131"/>
      <c r="H778" s="135">
        <v>0</v>
      </c>
      <c r="I778" s="86">
        <v>0</v>
      </c>
      <c r="J778" s="97"/>
      <c r="K778" s="146"/>
      <c r="L778" s="113"/>
    </row>
    <row r="779" spans="1:12" s="141" customFormat="1" ht="19.5" customHeight="1">
      <c r="A779" s="150"/>
      <c r="B779" s="95"/>
      <c r="C779" s="82">
        <v>2020</v>
      </c>
      <c r="D779" s="86">
        <f aca="true" t="shared" si="81" ref="D779:D784">I779</f>
        <v>14.76</v>
      </c>
      <c r="E779" s="131">
        <v>0</v>
      </c>
      <c r="F779" s="131"/>
      <c r="G779" s="131"/>
      <c r="H779" s="135">
        <v>0</v>
      </c>
      <c r="I779" s="86">
        <v>14.76</v>
      </c>
      <c r="J779" s="97"/>
      <c r="K779" s="146" t="s">
        <v>100</v>
      </c>
      <c r="L779" s="113"/>
    </row>
    <row r="780" spans="1:12" s="141" customFormat="1" ht="19.5" customHeight="1">
      <c r="A780" s="150"/>
      <c r="B780" s="95"/>
      <c r="C780" s="82">
        <v>2021</v>
      </c>
      <c r="D780" s="86">
        <f t="shared" si="81"/>
        <v>0</v>
      </c>
      <c r="E780" s="131">
        <v>0</v>
      </c>
      <c r="F780" s="131"/>
      <c r="G780" s="131"/>
      <c r="H780" s="135">
        <v>0</v>
      </c>
      <c r="I780" s="86">
        <v>0</v>
      </c>
      <c r="J780" s="97"/>
      <c r="K780" s="146"/>
      <c r="L780" s="113"/>
    </row>
    <row r="781" spans="1:12" s="141" customFormat="1" ht="19.5" customHeight="1">
      <c r="A781" s="150"/>
      <c r="B781" s="95"/>
      <c r="C781" s="82">
        <v>2022</v>
      </c>
      <c r="D781" s="86">
        <f t="shared" si="81"/>
        <v>0</v>
      </c>
      <c r="E781" s="131">
        <v>0</v>
      </c>
      <c r="F781" s="131"/>
      <c r="G781" s="131"/>
      <c r="H781" s="135">
        <v>0</v>
      </c>
      <c r="I781" s="86">
        <v>0</v>
      </c>
      <c r="J781" s="97"/>
      <c r="K781" s="146"/>
      <c r="L781" s="113"/>
    </row>
    <row r="782" spans="1:12" s="141" customFormat="1" ht="19.5" customHeight="1">
      <c r="A782" s="150"/>
      <c r="B782" s="95"/>
      <c r="C782" s="82">
        <v>2023</v>
      </c>
      <c r="D782" s="86">
        <f t="shared" si="81"/>
        <v>0</v>
      </c>
      <c r="E782" s="131">
        <v>0</v>
      </c>
      <c r="F782" s="131"/>
      <c r="G782" s="131"/>
      <c r="H782" s="135">
        <v>0</v>
      </c>
      <c r="I782" s="86">
        <v>0</v>
      </c>
      <c r="J782" s="97"/>
      <c r="K782" s="146"/>
      <c r="L782" s="113"/>
    </row>
    <row r="783" spans="1:12" s="141" customFormat="1" ht="19.5" customHeight="1">
      <c r="A783" s="150"/>
      <c r="B783" s="95"/>
      <c r="C783" s="82">
        <v>2024</v>
      </c>
      <c r="D783" s="86">
        <f t="shared" si="81"/>
        <v>0</v>
      </c>
      <c r="E783" s="131">
        <v>0</v>
      </c>
      <c r="F783" s="131"/>
      <c r="G783" s="131"/>
      <c r="H783" s="135">
        <v>0</v>
      </c>
      <c r="I783" s="86">
        <v>0</v>
      </c>
      <c r="J783" s="97"/>
      <c r="K783" s="146"/>
      <c r="L783" s="113"/>
    </row>
    <row r="784" spans="1:12" s="141" customFormat="1" ht="19.5" customHeight="1">
      <c r="A784" s="150"/>
      <c r="B784" s="95"/>
      <c r="C784" s="82">
        <v>2025</v>
      </c>
      <c r="D784" s="86">
        <f t="shared" si="81"/>
        <v>0</v>
      </c>
      <c r="E784" s="131">
        <v>0</v>
      </c>
      <c r="F784" s="131"/>
      <c r="G784" s="131"/>
      <c r="H784" s="135">
        <v>0</v>
      </c>
      <c r="I784" s="86">
        <v>0</v>
      </c>
      <c r="J784" s="97"/>
      <c r="K784" s="146"/>
      <c r="L784" s="113"/>
    </row>
    <row r="785" spans="1:12" s="141" customFormat="1" ht="19.5" customHeight="1">
      <c r="A785" s="150" t="s">
        <v>261</v>
      </c>
      <c r="B785" s="95" t="s">
        <v>262</v>
      </c>
      <c r="C785" s="82">
        <v>2017</v>
      </c>
      <c r="D785" s="86">
        <f aca="true" t="shared" si="82" ref="D785:D790">H785+I785+G785</f>
        <v>0</v>
      </c>
      <c r="E785" s="131">
        <v>0</v>
      </c>
      <c r="F785" s="131"/>
      <c r="G785" s="131"/>
      <c r="H785" s="135">
        <v>0</v>
      </c>
      <c r="I785" s="86">
        <v>0</v>
      </c>
      <c r="J785" s="97"/>
      <c r="K785" s="146"/>
      <c r="L785" s="113"/>
    </row>
    <row r="786" spans="1:12" s="141" customFormat="1" ht="19.5" customHeight="1">
      <c r="A786" s="150"/>
      <c r="B786" s="95"/>
      <c r="C786" s="82">
        <v>2018</v>
      </c>
      <c r="D786" s="86">
        <f t="shared" si="82"/>
        <v>0</v>
      </c>
      <c r="E786" s="131">
        <v>0</v>
      </c>
      <c r="F786" s="131"/>
      <c r="G786" s="131"/>
      <c r="H786" s="135">
        <v>0</v>
      </c>
      <c r="I786" s="86">
        <v>0</v>
      </c>
      <c r="J786" s="97"/>
      <c r="K786" s="146"/>
      <c r="L786" s="113"/>
    </row>
    <row r="787" spans="1:12" s="141" customFormat="1" ht="19.5" customHeight="1">
      <c r="A787" s="150"/>
      <c r="B787" s="95"/>
      <c r="C787" s="82">
        <v>2019</v>
      </c>
      <c r="D787" s="86">
        <f t="shared" si="82"/>
        <v>0</v>
      </c>
      <c r="E787" s="131">
        <v>0</v>
      </c>
      <c r="F787" s="131"/>
      <c r="G787" s="131"/>
      <c r="H787" s="135">
        <v>0</v>
      </c>
      <c r="I787" s="86">
        <v>0</v>
      </c>
      <c r="J787" s="97"/>
      <c r="K787" s="146"/>
      <c r="L787" s="113"/>
    </row>
    <row r="788" spans="1:12" s="141" customFormat="1" ht="19.5" customHeight="1">
      <c r="A788" s="150"/>
      <c r="B788" s="95"/>
      <c r="C788" s="82">
        <v>2020</v>
      </c>
      <c r="D788" s="86">
        <f t="shared" si="82"/>
        <v>0</v>
      </c>
      <c r="E788" s="131">
        <v>0</v>
      </c>
      <c r="F788" s="131"/>
      <c r="G788" s="131"/>
      <c r="H788" s="135">
        <v>0</v>
      </c>
      <c r="I788" s="86">
        <v>0</v>
      </c>
      <c r="J788" s="97"/>
      <c r="K788" s="146"/>
      <c r="L788" s="113"/>
    </row>
    <row r="789" spans="1:12" s="141" customFormat="1" ht="19.5" customHeight="1">
      <c r="A789" s="150"/>
      <c r="B789" s="95"/>
      <c r="C789" s="82">
        <v>2021</v>
      </c>
      <c r="D789" s="86">
        <f t="shared" si="82"/>
        <v>0</v>
      </c>
      <c r="E789" s="131">
        <v>0</v>
      </c>
      <c r="F789" s="131"/>
      <c r="G789" s="131"/>
      <c r="H789" s="135">
        <v>0</v>
      </c>
      <c r="I789" s="86">
        <v>0</v>
      </c>
      <c r="J789" s="97"/>
      <c r="K789" s="146"/>
      <c r="L789" s="113"/>
    </row>
    <row r="790" spans="1:12" s="141" customFormat="1" ht="19.5" customHeight="1">
      <c r="A790" s="150"/>
      <c r="B790" s="95"/>
      <c r="C790" s="82">
        <v>2022</v>
      </c>
      <c r="D790" s="86">
        <f t="shared" si="82"/>
        <v>0</v>
      </c>
      <c r="E790" s="131">
        <v>0</v>
      </c>
      <c r="F790" s="131"/>
      <c r="G790" s="131"/>
      <c r="H790" s="135">
        <v>0</v>
      </c>
      <c r="I790" s="86">
        <v>0</v>
      </c>
      <c r="J790" s="97"/>
      <c r="K790" s="146"/>
      <c r="L790" s="113"/>
    </row>
    <row r="791" spans="1:12" s="141" customFormat="1" ht="19.5" customHeight="1">
      <c r="A791" s="150"/>
      <c r="B791" s="95"/>
      <c r="C791" s="158">
        <v>2023</v>
      </c>
      <c r="D791" s="159">
        <f>F791+I791</f>
        <v>4435.900000000001</v>
      </c>
      <c r="E791" s="159">
        <v>0</v>
      </c>
      <c r="F791" s="159">
        <f>G791+H791</f>
        <v>4214.1</v>
      </c>
      <c r="G791" s="159">
        <v>3877</v>
      </c>
      <c r="H791" s="160">
        <v>337.1</v>
      </c>
      <c r="I791" s="159">
        <v>221.8</v>
      </c>
      <c r="J791" s="97"/>
      <c r="K791" s="146" t="s">
        <v>248</v>
      </c>
      <c r="L791" s="113"/>
    </row>
    <row r="792" spans="1:12" s="141" customFormat="1" ht="19.5" customHeight="1">
      <c r="A792" s="150"/>
      <c r="B792" s="95"/>
      <c r="C792" s="82">
        <v>2024</v>
      </c>
      <c r="D792" s="86">
        <v>0</v>
      </c>
      <c r="E792" s="131">
        <v>0</v>
      </c>
      <c r="F792" s="131"/>
      <c r="G792" s="131"/>
      <c r="H792" s="135">
        <v>0</v>
      </c>
      <c r="I792" s="86">
        <v>0</v>
      </c>
      <c r="J792" s="97"/>
      <c r="K792" s="146"/>
      <c r="L792" s="113"/>
    </row>
    <row r="793" spans="1:12" s="141" customFormat="1" ht="19.5" customHeight="1">
      <c r="A793" s="150"/>
      <c r="B793" s="95"/>
      <c r="C793" s="82">
        <v>2025</v>
      </c>
      <c r="D793" s="86">
        <v>0</v>
      </c>
      <c r="E793" s="131">
        <v>0</v>
      </c>
      <c r="F793" s="131"/>
      <c r="G793" s="131"/>
      <c r="H793" s="135">
        <v>0</v>
      </c>
      <c r="I793" s="86">
        <v>0</v>
      </c>
      <c r="J793" s="97"/>
      <c r="K793" s="146"/>
      <c r="L793" s="113"/>
    </row>
    <row r="794" spans="1:12" s="141" customFormat="1" ht="19.5" customHeight="1">
      <c r="A794" s="155" t="s">
        <v>263</v>
      </c>
      <c r="B794" s="95" t="s">
        <v>264</v>
      </c>
      <c r="C794" s="82">
        <v>2017</v>
      </c>
      <c r="D794" s="86">
        <v>0</v>
      </c>
      <c r="E794" s="131">
        <v>0</v>
      </c>
      <c r="F794" s="131"/>
      <c r="G794" s="131"/>
      <c r="H794" s="135">
        <v>0</v>
      </c>
      <c r="I794" s="86">
        <v>0</v>
      </c>
      <c r="J794" s="97"/>
      <c r="K794" s="146"/>
      <c r="L794" s="113"/>
    </row>
    <row r="795" spans="1:12" s="141" customFormat="1" ht="19.5" customHeight="1">
      <c r="A795" s="155"/>
      <c r="B795" s="95"/>
      <c r="C795" s="82">
        <v>2018</v>
      </c>
      <c r="D795" s="86">
        <v>0</v>
      </c>
      <c r="E795" s="131">
        <v>0</v>
      </c>
      <c r="F795" s="131"/>
      <c r="G795" s="131"/>
      <c r="H795" s="135">
        <v>0</v>
      </c>
      <c r="I795" s="86">
        <v>0</v>
      </c>
      <c r="J795" s="97"/>
      <c r="K795" s="146"/>
      <c r="L795" s="113"/>
    </row>
    <row r="796" spans="1:12" s="141" customFormat="1" ht="19.5" customHeight="1">
      <c r="A796" s="155"/>
      <c r="B796" s="95"/>
      <c r="C796" s="82">
        <v>2019</v>
      </c>
      <c r="D796" s="86">
        <v>0</v>
      </c>
      <c r="E796" s="131">
        <v>0</v>
      </c>
      <c r="F796" s="131"/>
      <c r="G796" s="131"/>
      <c r="H796" s="135">
        <v>0</v>
      </c>
      <c r="I796" s="86">
        <v>0</v>
      </c>
      <c r="J796" s="97"/>
      <c r="K796" s="146"/>
      <c r="L796" s="113"/>
    </row>
    <row r="797" spans="1:12" s="141" customFormat="1" ht="19.5" customHeight="1">
      <c r="A797" s="155"/>
      <c r="B797" s="95"/>
      <c r="C797" s="82">
        <v>2020</v>
      </c>
      <c r="D797" s="86">
        <f aca="true" t="shared" si="83" ref="D797:D802">I797</f>
        <v>43.980000000000004</v>
      </c>
      <c r="E797" s="131">
        <v>0</v>
      </c>
      <c r="F797" s="131"/>
      <c r="G797" s="131"/>
      <c r="H797" s="135">
        <v>0</v>
      </c>
      <c r="I797" s="86">
        <f>48.47214-4.49214</f>
        <v>43.980000000000004</v>
      </c>
      <c r="J797" s="97"/>
      <c r="K797" s="146" t="s">
        <v>134</v>
      </c>
      <c r="L797" s="113"/>
    </row>
    <row r="798" spans="1:12" s="141" customFormat="1" ht="19.5" customHeight="1">
      <c r="A798" s="155"/>
      <c r="B798" s="95"/>
      <c r="C798" s="82">
        <v>2021</v>
      </c>
      <c r="D798" s="86">
        <f t="shared" si="83"/>
        <v>86.405</v>
      </c>
      <c r="E798" s="131">
        <v>0</v>
      </c>
      <c r="F798" s="131"/>
      <c r="G798" s="131"/>
      <c r="H798" s="135">
        <v>0</v>
      </c>
      <c r="I798" s="86">
        <f>86.405</f>
        <v>86.405</v>
      </c>
      <c r="J798" s="97"/>
      <c r="K798" s="146"/>
      <c r="L798" s="113"/>
    </row>
    <row r="799" spans="1:12" s="141" customFormat="1" ht="19.5" customHeight="1">
      <c r="A799" s="155"/>
      <c r="B799" s="95"/>
      <c r="C799" s="82">
        <v>2022</v>
      </c>
      <c r="D799" s="86">
        <f t="shared" si="83"/>
        <v>0</v>
      </c>
      <c r="E799" s="131">
        <v>0</v>
      </c>
      <c r="F799" s="131"/>
      <c r="G799" s="131"/>
      <c r="H799" s="135">
        <v>0</v>
      </c>
      <c r="I799" s="86">
        <v>0</v>
      </c>
      <c r="J799" s="97"/>
      <c r="K799" s="146"/>
      <c r="L799" s="113"/>
    </row>
    <row r="800" spans="1:12" s="141" customFormat="1" ht="19.5" customHeight="1">
      <c r="A800" s="155"/>
      <c r="B800" s="95"/>
      <c r="C800" s="82">
        <v>2023</v>
      </c>
      <c r="D800" s="86">
        <f t="shared" si="83"/>
        <v>0</v>
      </c>
      <c r="E800" s="131">
        <v>0</v>
      </c>
      <c r="F800" s="131"/>
      <c r="G800" s="131"/>
      <c r="H800" s="135">
        <v>0</v>
      </c>
      <c r="I800" s="86">
        <v>0</v>
      </c>
      <c r="J800" s="97"/>
      <c r="K800" s="146"/>
      <c r="L800" s="113"/>
    </row>
    <row r="801" spans="1:12" s="141" customFormat="1" ht="19.5" customHeight="1">
      <c r="A801" s="155"/>
      <c r="B801" s="95"/>
      <c r="C801" s="82">
        <v>2024</v>
      </c>
      <c r="D801" s="86">
        <f t="shared" si="83"/>
        <v>0</v>
      </c>
      <c r="E801" s="131">
        <v>0</v>
      </c>
      <c r="F801" s="131"/>
      <c r="G801" s="131"/>
      <c r="H801" s="135">
        <v>0</v>
      </c>
      <c r="I801" s="86">
        <v>0</v>
      </c>
      <c r="J801" s="97"/>
      <c r="K801" s="146"/>
      <c r="L801" s="113"/>
    </row>
    <row r="802" spans="1:12" s="141" customFormat="1" ht="19.5" customHeight="1">
      <c r="A802" s="155"/>
      <c r="B802" s="95"/>
      <c r="C802" s="82">
        <v>2025</v>
      </c>
      <c r="D802" s="86">
        <f t="shared" si="83"/>
        <v>0</v>
      </c>
      <c r="E802" s="131">
        <v>0</v>
      </c>
      <c r="F802" s="131"/>
      <c r="G802" s="131"/>
      <c r="H802" s="135">
        <v>0</v>
      </c>
      <c r="I802" s="86">
        <v>0</v>
      </c>
      <c r="J802" s="97"/>
      <c r="K802" s="146"/>
      <c r="L802" s="113"/>
    </row>
    <row r="803" spans="1:12" s="141" customFormat="1" ht="19.5" customHeight="1">
      <c r="A803" s="155" t="s">
        <v>265</v>
      </c>
      <c r="B803" s="95" t="s">
        <v>266</v>
      </c>
      <c r="C803" s="82">
        <v>2017</v>
      </c>
      <c r="D803" s="86">
        <v>0</v>
      </c>
      <c r="E803" s="131">
        <v>0</v>
      </c>
      <c r="F803" s="131"/>
      <c r="G803" s="131"/>
      <c r="H803" s="135">
        <v>0</v>
      </c>
      <c r="I803" s="86">
        <v>0</v>
      </c>
      <c r="J803" s="97"/>
      <c r="K803" s="146"/>
      <c r="L803" s="113"/>
    </row>
    <row r="804" spans="1:12" s="141" customFormat="1" ht="19.5" customHeight="1">
      <c r="A804" s="155"/>
      <c r="B804" s="95"/>
      <c r="C804" s="82">
        <v>2018</v>
      </c>
      <c r="D804" s="86">
        <v>0</v>
      </c>
      <c r="E804" s="131">
        <v>0</v>
      </c>
      <c r="F804" s="131"/>
      <c r="G804" s="131"/>
      <c r="H804" s="135">
        <v>0</v>
      </c>
      <c r="I804" s="86">
        <v>0</v>
      </c>
      <c r="J804" s="97"/>
      <c r="K804" s="146"/>
      <c r="L804" s="113"/>
    </row>
    <row r="805" spans="1:12" s="141" customFormat="1" ht="19.5" customHeight="1">
      <c r="A805" s="155"/>
      <c r="B805" s="95"/>
      <c r="C805" s="82">
        <v>2019</v>
      </c>
      <c r="D805" s="86">
        <v>0</v>
      </c>
      <c r="E805" s="131">
        <v>0</v>
      </c>
      <c r="F805" s="131"/>
      <c r="G805" s="131"/>
      <c r="H805" s="135">
        <v>0</v>
      </c>
      <c r="I805" s="86">
        <v>0</v>
      </c>
      <c r="J805" s="97"/>
      <c r="K805" s="146"/>
      <c r="L805" s="113"/>
    </row>
    <row r="806" spans="1:12" s="141" customFormat="1" ht="19.5" customHeight="1">
      <c r="A806" s="155"/>
      <c r="B806" s="95"/>
      <c r="C806" s="82">
        <v>2020</v>
      </c>
      <c r="D806" s="86">
        <v>0</v>
      </c>
      <c r="E806" s="131">
        <v>0</v>
      </c>
      <c r="F806" s="131"/>
      <c r="G806" s="131"/>
      <c r="H806" s="135">
        <v>0</v>
      </c>
      <c r="I806" s="86">
        <v>0</v>
      </c>
      <c r="J806" s="97"/>
      <c r="K806" s="146"/>
      <c r="L806" s="113"/>
    </row>
    <row r="807" spans="1:12" s="141" customFormat="1" ht="19.5" customHeight="1">
      <c r="A807" s="155"/>
      <c r="B807" s="95"/>
      <c r="C807" s="82">
        <v>2021</v>
      </c>
      <c r="D807" s="86">
        <f aca="true" t="shared" si="84" ref="D807:D811">H807+I807</f>
        <v>132.298</v>
      </c>
      <c r="E807" s="131">
        <v>0</v>
      </c>
      <c r="F807" s="131"/>
      <c r="G807" s="131"/>
      <c r="H807" s="135">
        <v>0</v>
      </c>
      <c r="I807" s="86">
        <f>250-117.702</f>
        <v>132.298</v>
      </c>
      <c r="J807" s="97"/>
      <c r="K807" s="146" t="s">
        <v>134</v>
      </c>
      <c r="L807" s="113"/>
    </row>
    <row r="808" spans="1:12" s="141" customFormat="1" ht="19.5" customHeight="1">
      <c r="A808" s="155"/>
      <c r="B808" s="95"/>
      <c r="C808" s="82">
        <v>2022</v>
      </c>
      <c r="D808" s="86">
        <f t="shared" si="84"/>
        <v>2730.851</v>
      </c>
      <c r="E808" s="131">
        <v>0</v>
      </c>
      <c r="F808" s="131"/>
      <c r="G808" s="131"/>
      <c r="H808" s="135">
        <v>0</v>
      </c>
      <c r="I808" s="86">
        <f>1843.752+887.099</f>
        <v>2730.851</v>
      </c>
      <c r="J808" s="97"/>
      <c r="K808" s="148" t="s">
        <v>173</v>
      </c>
      <c r="L808" s="113"/>
    </row>
    <row r="809" spans="1:12" s="141" customFormat="1" ht="19.5" customHeight="1">
      <c r="A809" s="155"/>
      <c r="B809" s="95"/>
      <c r="C809" s="82">
        <v>2023</v>
      </c>
      <c r="D809" s="86">
        <f t="shared" si="84"/>
        <v>0</v>
      </c>
      <c r="E809" s="131">
        <v>0</v>
      </c>
      <c r="F809" s="131"/>
      <c r="G809" s="131"/>
      <c r="H809" s="135">
        <v>0</v>
      </c>
      <c r="I809" s="86">
        <v>0</v>
      </c>
      <c r="J809" s="97"/>
      <c r="K809" s="146"/>
      <c r="L809" s="113"/>
    </row>
    <row r="810" spans="1:12" s="141" customFormat="1" ht="19.5" customHeight="1">
      <c r="A810" s="155"/>
      <c r="B810" s="95"/>
      <c r="C810" s="82">
        <v>2024</v>
      </c>
      <c r="D810" s="86">
        <f t="shared" si="84"/>
        <v>0</v>
      </c>
      <c r="E810" s="131">
        <v>0</v>
      </c>
      <c r="F810" s="131"/>
      <c r="G810" s="131"/>
      <c r="H810" s="135">
        <v>0</v>
      </c>
      <c r="I810" s="86">
        <v>0</v>
      </c>
      <c r="J810" s="97"/>
      <c r="K810" s="146"/>
      <c r="L810" s="113"/>
    </row>
    <row r="811" spans="1:12" s="141" customFormat="1" ht="19.5" customHeight="1">
      <c r="A811" s="155"/>
      <c r="B811" s="95"/>
      <c r="C811" s="82">
        <v>2025</v>
      </c>
      <c r="D811" s="86">
        <f t="shared" si="84"/>
        <v>0</v>
      </c>
      <c r="E811" s="131">
        <v>0</v>
      </c>
      <c r="F811" s="131"/>
      <c r="G811" s="131"/>
      <c r="H811" s="135">
        <v>0</v>
      </c>
      <c r="I811" s="86">
        <v>0</v>
      </c>
      <c r="J811" s="97"/>
      <c r="K811" s="146"/>
      <c r="L811" s="113"/>
    </row>
    <row r="812" spans="1:12" s="141" customFormat="1" ht="19.5" customHeight="1">
      <c r="A812" s="155" t="s">
        <v>267</v>
      </c>
      <c r="B812" s="95" t="s">
        <v>268</v>
      </c>
      <c r="C812" s="82">
        <v>2021</v>
      </c>
      <c r="D812" s="86">
        <f aca="true" t="shared" si="85" ref="D812:D816">I812</f>
        <v>1378.2026</v>
      </c>
      <c r="E812" s="131">
        <v>0</v>
      </c>
      <c r="F812" s="131"/>
      <c r="G812" s="131"/>
      <c r="H812" s="135">
        <v>0</v>
      </c>
      <c r="I812" s="86">
        <v>1378.2026</v>
      </c>
      <c r="J812" s="97"/>
      <c r="K812" s="147" t="s">
        <v>173</v>
      </c>
      <c r="L812" s="113"/>
    </row>
    <row r="813" spans="1:12" s="141" customFormat="1" ht="19.5" customHeight="1">
      <c r="A813" s="155"/>
      <c r="B813" s="95"/>
      <c r="C813" s="82">
        <v>2022</v>
      </c>
      <c r="D813" s="86">
        <f t="shared" si="85"/>
        <v>0</v>
      </c>
      <c r="E813" s="95">
        <v>0</v>
      </c>
      <c r="F813" s="95"/>
      <c r="G813" s="95"/>
      <c r="H813" s="136">
        <v>0</v>
      </c>
      <c r="I813" s="95">
        <v>0</v>
      </c>
      <c r="J813" s="97"/>
      <c r="K813" s="147"/>
      <c r="L813" s="113"/>
    </row>
    <row r="814" spans="1:12" s="141" customFormat="1" ht="19.5" customHeight="1">
      <c r="A814" s="155"/>
      <c r="B814" s="95"/>
      <c r="C814" s="82">
        <v>2023</v>
      </c>
      <c r="D814" s="86">
        <f t="shared" si="85"/>
        <v>0</v>
      </c>
      <c r="E814" s="95">
        <v>0</v>
      </c>
      <c r="F814" s="95"/>
      <c r="G814" s="95"/>
      <c r="H814" s="136">
        <v>0</v>
      </c>
      <c r="I814" s="95">
        <f>800-800</f>
        <v>0</v>
      </c>
      <c r="J814" s="97"/>
      <c r="K814" s="148"/>
      <c r="L814" s="113"/>
    </row>
    <row r="815" spans="1:12" s="141" customFormat="1" ht="19.5" customHeight="1">
      <c r="A815" s="155"/>
      <c r="B815" s="95"/>
      <c r="C815" s="82">
        <v>2024</v>
      </c>
      <c r="D815" s="86">
        <f t="shared" si="85"/>
        <v>0</v>
      </c>
      <c r="E815" s="95">
        <v>0</v>
      </c>
      <c r="F815" s="95"/>
      <c r="G815" s="95"/>
      <c r="H815" s="136">
        <v>0</v>
      </c>
      <c r="I815" s="95">
        <v>0</v>
      </c>
      <c r="J815" s="97"/>
      <c r="K815" s="146"/>
      <c r="L815" s="113"/>
    </row>
    <row r="816" spans="1:12" s="141" customFormat="1" ht="19.5" customHeight="1">
      <c r="A816" s="155"/>
      <c r="B816" s="95"/>
      <c r="C816" s="82">
        <v>2025</v>
      </c>
      <c r="D816" s="86">
        <f t="shared" si="85"/>
        <v>0</v>
      </c>
      <c r="E816" s="95">
        <v>0</v>
      </c>
      <c r="F816" s="95"/>
      <c r="G816" s="95"/>
      <c r="H816" s="136">
        <v>0</v>
      </c>
      <c r="I816" s="95">
        <v>0</v>
      </c>
      <c r="J816" s="97"/>
      <c r="K816" s="146"/>
      <c r="L816" s="113"/>
    </row>
    <row r="817" spans="1:12" s="141" customFormat="1" ht="19.5" customHeight="1">
      <c r="A817" s="155"/>
      <c r="B817" s="161" t="s">
        <v>113</v>
      </c>
      <c r="C817" s="125">
        <v>2017</v>
      </c>
      <c r="D817" s="124">
        <f>I817+H817+G817+F817+E817</f>
        <v>3287.06155</v>
      </c>
      <c r="E817" s="131">
        <v>0</v>
      </c>
      <c r="F817" s="131"/>
      <c r="G817" s="131"/>
      <c r="H817" s="135">
        <v>0</v>
      </c>
      <c r="I817" s="124">
        <f>I212+I213+I222+I231+I240+I241+I250</f>
        <v>3287.06155</v>
      </c>
      <c r="J817" s="97"/>
      <c r="K817" s="146"/>
      <c r="L817" s="113"/>
    </row>
    <row r="818" spans="1:12" s="141" customFormat="1" ht="19.5" customHeight="1">
      <c r="A818" s="155"/>
      <c r="B818" s="161"/>
      <c r="C818" s="125">
        <v>2018</v>
      </c>
      <c r="D818" s="124">
        <f aca="true" t="shared" si="86" ref="D818:D820">E818+H818+I818</f>
        <v>6571.8936699999995</v>
      </c>
      <c r="E818" s="124">
        <f>E77+E88+E104+E113+E121+E122+E123+E209+E260+E271+E278+E287+E296+E200</f>
        <v>0</v>
      </c>
      <c r="F818" s="124">
        <v>0</v>
      </c>
      <c r="G818" s="124">
        <v>0</v>
      </c>
      <c r="H818" s="124">
        <f>H77+H88+H104+H113+H121+H122+H123+H209+H260+H271+H278+H287+H296+H200</f>
        <v>0</v>
      </c>
      <c r="I818" s="124">
        <f>I260+I269+I278+I287+I296+I261+I305+I306+I308+I309+I307+I318+I328+I337+I346+I355+I364+I373++I382+I327+I391</f>
        <v>6571.8936699999995</v>
      </c>
      <c r="J818" s="97"/>
      <c r="K818" s="98"/>
      <c r="L818" s="113"/>
    </row>
    <row r="819" spans="1:12" s="141" customFormat="1" ht="19.5" customHeight="1">
      <c r="A819" s="155"/>
      <c r="B819" s="161"/>
      <c r="C819" s="125">
        <v>2019</v>
      </c>
      <c r="D819" s="124">
        <f t="shared" si="86"/>
        <v>12119.862239999999</v>
      </c>
      <c r="E819" s="124">
        <f>E86+E95+E105+E114+E124+E201+E210+E262+E269+E279+E288+E297</f>
        <v>0</v>
      </c>
      <c r="F819" s="124">
        <v>0</v>
      </c>
      <c r="G819" s="124">
        <v>0</v>
      </c>
      <c r="H819" s="124">
        <v>0</v>
      </c>
      <c r="I819" s="124">
        <f>I428+I419+I410+I401+I279+I437+I446+I455+I464+I473+I482+I288+I509+I500+I491+I581+I572+I545+I536+I527+I518+I554+I563+I590+I599+I608+I617+I626</f>
        <v>12119.862239999999</v>
      </c>
      <c r="J819" s="97"/>
      <c r="K819" s="98"/>
      <c r="L819" s="113"/>
    </row>
    <row r="820" spans="1:12" s="141" customFormat="1" ht="19.5" customHeight="1">
      <c r="A820" s="155"/>
      <c r="B820" s="161"/>
      <c r="C820" s="125">
        <v>2020</v>
      </c>
      <c r="D820" s="124">
        <f t="shared" si="86"/>
        <v>6624.8859299999995</v>
      </c>
      <c r="E820" s="124">
        <f>E87+E96+E106+E115+E149+E208+E216+E270+E280+E289+E298</f>
        <v>0</v>
      </c>
      <c r="F820" s="124">
        <v>0</v>
      </c>
      <c r="G820" s="124">
        <v>0</v>
      </c>
      <c r="H820" s="124">
        <f>H87+H96+H106+H115+H149+H208+H216+H270+H280+H289+H298</f>
        <v>0</v>
      </c>
      <c r="I820" s="124">
        <f>I734+I725+I716+I707+I698+I689+I680+I671+I661+I654+I647+I640+I510+I289+I743+I752+I761+I770+I779+I797</f>
        <v>6624.8859299999995</v>
      </c>
      <c r="J820" s="97"/>
      <c r="K820" s="98"/>
      <c r="L820" s="113"/>
    </row>
    <row r="821" spans="1:12" s="141" customFormat="1" ht="19.5" customHeight="1">
      <c r="A821" s="155"/>
      <c r="B821" s="161"/>
      <c r="C821" s="125">
        <v>2021</v>
      </c>
      <c r="D821" s="124">
        <f aca="true" t="shared" si="87" ref="D821:D822">I821</f>
        <v>2602.4906</v>
      </c>
      <c r="E821" s="124">
        <v>0</v>
      </c>
      <c r="F821" s="124">
        <v>0</v>
      </c>
      <c r="G821" s="124">
        <v>0</v>
      </c>
      <c r="H821" s="124">
        <v>0</v>
      </c>
      <c r="I821" s="124">
        <f>I511+I708+I798+I807+I753+I744+I681+I812</f>
        <v>2602.4906</v>
      </c>
      <c r="J821" s="97"/>
      <c r="K821" s="98"/>
      <c r="L821" s="113"/>
    </row>
    <row r="822" spans="1:12" s="141" customFormat="1" ht="19.5" customHeight="1">
      <c r="A822" s="155"/>
      <c r="B822" s="161"/>
      <c r="C822" s="125">
        <v>2022</v>
      </c>
      <c r="D822" s="124">
        <f t="shared" si="87"/>
        <v>3239.46169</v>
      </c>
      <c r="E822" s="124">
        <v>0</v>
      </c>
      <c r="F822" s="124">
        <v>0</v>
      </c>
      <c r="G822" s="124">
        <v>0</v>
      </c>
      <c r="H822" s="124">
        <v>0</v>
      </c>
      <c r="I822" s="124">
        <f>I512+I709+I813+I808</f>
        <v>3239.46169</v>
      </c>
      <c r="J822" s="97"/>
      <c r="K822" s="98"/>
      <c r="L822" s="162"/>
    </row>
    <row r="823" spans="1:12" s="141" customFormat="1" ht="19.5" customHeight="1">
      <c r="A823" s="155"/>
      <c r="B823" s="161"/>
      <c r="C823" s="126">
        <v>2023</v>
      </c>
      <c r="D823" s="127">
        <f>F823+I823+E823</f>
        <v>8966.49887</v>
      </c>
      <c r="E823" s="127">
        <v>0</v>
      </c>
      <c r="F823" s="127">
        <f>G823+H823</f>
        <v>4214.1</v>
      </c>
      <c r="G823" s="127">
        <f>G791</f>
        <v>3877</v>
      </c>
      <c r="H823" s="127">
        <f>H791</f>
        <v>337.1</v>
      </c>
      <c r="I823" s="127">
        <f>I773+I630+I513+I791+I710+I814+I809+I800+I782+I764+I755+I746+I737+I728+I719+I701+I692+I683+I674+I666+I621+I612+I603+I594+I585+I576+I567+I558+I549+I540+I531+I522++I504+I495+I486+I477+I468+I459+I450+I441+I432+I423+I414+I405+I396+I387+I378+I369+I360+I351+I342+I333+I323+I314+I301+I292+I283+I274+I265+I256+I247+I237+I228+I219</f>
        <v>4752.39887</v>
      </c>
      <c r="J823" s="97"/>
      <c r="K823" s="98"/>
      <c r="L823" s="162"/>
    </row>
    <row r="824" spans="1:12" s="141" customFormat="1" ht="19.5" customHeight="1">
      <c r="A824" s="155"/>
      <c r="B824" s="161"/>
      <c r="C824" s="125">
        <v>2024</v>
      </c>
      <c r="D824" s="124">
        <f aca="true" t="shared" si="88" ref="D824:D825">I824</f>
        <v>0</v>
      </c>
      <c r="E824" s="124">
        <v>0</v>
      </c>
      <c r="F824" s="124">
        <v>0</v>
      </c>
      <c r="G824" s="124">
        <v>0</v>
      </c>
      <c r="H824" s="124">
        <v>0</v>
      </c>
      <c r="I824" s="124">
        <f>I514+I711+I815+I810+I801+I792+I783+I774+I765+I756+I747+I738+I729+I720+I702+I693+I684+I675+I667+I622+I613+I604+I595+I586+I577+I568+I559+I550+I541+I532</f>
        <v>0</v>
      </c>
      <c r="J824" s="97"/>
      <c r="K824" s="98"/>
      <c r="L824" s="162"/>
    </row>
    <row r="825" spans="1:12" s="141" customFormat="1" ht="19.5" customHeight="1">
      <c r="A825" s="155"/>
      <c r="B825" s="161"/>
      <c r="C825" s="125">
        <v>2025</v>
      </c>
      <c r="D825" s="124">
        <f t="shared" si="88"/>
        <v>0</v>
      </c>
      <c r="E825" s="124">
        <v>0</v>
      </c>
      <c r="F825" s="124">
        <v>0</v>
      </c>
      <c r="G825" s="124">
        <v>0</v>
      </c>
      <c r="H825" s="124">
        <v>0</v>
      </c>
      <c r="I825" s="124">
        <f>I515+I712+I816+I811+I802+I793+I784+I775+I766+I757+I748+I739+I730+I721+I703+I694+I685+I676+I668+I623+I614+I605+I596+I587+I578+I569+I560+I551+I542</f>
        <v>0</v>
      </c>
      <c r="J825" s="97"/>
      <c r="K825" s="98"/>
      <c r="L825" s="163"/>
    </row>
    <row r="826" spans="1:12" s="65" customFormat="1" ht="19.5" customHeight="1">
      <c r="A826" s="93"/>
      <c r="B826" s="129" t="s">
        <v>269</v>
      </c>
      <c r="C826" s="129"/>
      <c r="D826" s="129"/>
      <c r="E826" s="129"/>
      <c r="F826" s="129"/>
      <c r="G826" s="129"/>
      <c r="H826" s="129"/>
      <c r="I826" s="129"/>
      <c r="J826" s="129"/>
      <c r="K826" s="129"/>
      <c r="L826" s="129"/>
    </row>
    <row r="827" spans="1:12" s="65" customFormat="1" ht="19.5" customHeight="1">
      <c r="A827" s="164"/>
      <c r="B827" s="164"/>
      <c r="C827" s="164"/>
      <c r="D827" s="164"/>
      <c r="E827" s="164"/>
      <c r="F827" s="164"/>
      <c r="G827" s="164"/>
      <c r="H827" s="164"/>
      <c r="I827" s="164"/>
      <c r="J827" s="164"/>
      <c r="K827" s="164"/>
      <c r="L827" s="164"/>
    </row>
    <row r="828" spans="1:13" s="65" customFormat="1" ht="19.5" customHeight="1">
      <c r="A828" s="165" t="s">
        <v>50</v>
      </c>
      <c r="B828" s="131" t="s">
        <v>71</v>
      </c>
      <c r="C828" s="131"/>
      <c r="D828" s="131"/>
      <c r="E828" s="131"/>
      <c r="F828" s="131"/>
      <c r="G828" s="131"/>
      <c r="H828" s="131"/>
      <c r="I828" s="131"/>
      <c r="J828" s="131"/>
      <c r="K828" s="131"/>
      <c r="L828" s="131"/>
      <c r="M828" s="65" t="s">
        <v>71</v>
      </c>
    </row>
    <row r="829" spans="1:12" s="65" customFormat="1" ht="19.5" customHeight="1">
      <c r="A829" s="86" t="s">
        <v>270</v>
      </c>
      <c r="B829" s="86" t="s">
        <v>271</v>
      </c>
      <c r="C829" s="94">
        <v>2017</v>
      </c>
      <c r="D829" s="86">
        <f aca="true" t="shared" si="89" ref="D829:D830">I829</f>
        <v>6500.04975</v>
      </c>
      <c r="E829" s="86">
        <v>0</v>
      </c>
      <c r="F829" s="86"/>
      <c r="G829" s="86"/>
      <c r="H829" s="86">
        <v>0</v>
      </c>
      <c r="I829" s="86">
        <v>6500.04975</v>
      </c>
      <c r="J829" s="93"/>
      <c r="K829" s="86" t="s">
        <v>272</v>
      </c>
      <c r="L829" s="93"/>
    </row>
    <row r="830" spans="1:12" s="65" customFormat="1" ht="19.5" customHeight="1">
      <c r="A830" s="86"/>
      <c r="B830" s="86"/>
      <c r="C830" s="82">
        <v>2018</v>
      </c>
      <c r="D830" s="86">
        <f t="shared" si="89"/>
        <v>8299.13376</v>
      </c>
      <c r="E830" s="86">
        <v>0</v>
      </c>
      <c r="F830" s="86"/>
      <c r="G830" s="86"/>
      <c r="H830" s="86">
        <v>0</v>
      </c>
      <c r="I830" s="86">
        <f>6137.149+0.73226+1830.1275+327.1+0.025+4</f>
        <v>8299.13376</v>
      </c>
      <c r="J830" s="97"/>
      <c r="K830" s="86"/>
      <c r="L830" s="93"/>
    </row>
    <row r="831" spans="1:12" s="65" customFormat="1" ht="19.5" customHeight="1">
      <c r="A831" s="86"/>
      <c r="B831" s="86"/>
      <c r="C831" s="82">
        <v>2019</v>
      </c>
      <c r="D831" s="86">
        <f aca="true" t="shared" si="90" ref="D831:D832">E831+H831+I831</f>
        <v>11105.41822</v>
      </c>
      <c r="E831" s="86">
        <v>0</v>
      </c>
      <c r="F831" s="86"/>
      <c r="G831" s="86"/>
      <c r="H831" s="86">
        <v>0</v>
      </c>
      <c r="I831" s="86">
        <f>341.2+2464.84669+0.93166+8298.446-0.00613</f>
        <v>11105.41822</v>
      </c>
      <c r="J831" s="97"/>
      <c r="K831" s="86"/>
      <c r="L831" s="93"/>
    </row>
    <row r="832" spans="1:12" s="65" customFormat="1" ht="19.5" customHeight="1">
      <c r="A832" s="86"/>
      <c r="B832" s="86"/>
      <c r="C832" s="82">
        <v>2020</v>
      </c>
      <c r="D832" s="86">
        <f t="shared" si="90"/>
        <v>11736.468110000002</v>
      </c>
      <c r="E832" s="86">
        <v>0</v>
      </c>
      <c r="F832" s="86"/>
      <c r="G832" s="86"/>
      <c r="H832" s="86">
        <v>0</v>
      </c>
      <c r="I832" s="86">
        <f>8727.278+2635.639+419.34-45.78889</f>
        <v>11736.468110000002</v>
      </c>
      <c r="J832" s="97"/>
      <c r="K832" s="86"/>
      <c r="L832" s="93"/>
    </row>
    <row r="833" spans="1:12" s="65" customFormat="1" ht="19.5" customHeight="1">
      <c r="A833" s="86"/>
      <c r="B833" s="86"/>
      <c r="C833" s="82">
        <v>2021</v>
      </c>
      <c r="D833" s="86">
        <f aca="true" t="shared" si="91" ref="D833:D838">I833</f>
        <v>12815.795</v>
      </c>
      <c r="E833" s="86">
        <v>0</v>
      </c>
      <c r="F833" s="86"/>
      <c r="G833" s="86"/>
      <c r="H833" s="86">
        <v>0</v>
      </c>
      <c r="I833" s="86">
        <f>12815.795</f>
        <v>12815.795</v>
      </c>
      <c r="J833" s="97"/>
      <c r="K833" s="86"/>
      <c r="L833" s="93"/>
    </row>
    <row r="834" spans="1:12" s="65" customFormat="1" ht="19.5" customHeight="1">
      <c r="A834" s="86"/>
      <c r="B834" s="86"/>
      <c r="C834" s="82">
        <v>2022</v>
      </c>
      <c r="D834" s="86">
        <f t="shared" si="91"/>
        <v>13945.457</v>
      </c>
      <c r="E834" s="86">
        <v>0</v>
      </c>
      <c r="F834" s="86"/>
      <c r="G834" s="86"/>
      <c r="H834" s="86">
        <v>0</v>
      </c>
      <c r="I834" s="86">
        <v>13945.457</v>
      </c>
      <c r="J834" s="97"/>
      <c r="K834" s="86"/>
      <c r="L834" s="93"/>
    </row>
    <row r="835" spans="1:12" s="65" customFormat="1" ht="19.5" customHeight="1">
      <c r="A835" s="86"/>
      <c r="B835" s="86"/>
      <c r="C835" s="101">
        <v>2023</v>
      </c>
      <c r="D835" s="102">
        <f t="shared" si="91"/>
        <v>15230.99385</v>
      </c>
      <c r="E835" s="102">
        <v>0</v>
      </c>
      <c r="F835" s="102"/>
      <c r="G835" s="102"/>
      <c r="H835" s="102">
        <v>0</v>
      </c>
      <c r="I835" s="102">
        <f>14740.833-218.67+218.67+113.542-151.94448+151.94448+89.716+227.578-14.80097+92.286+27.87-46.03018</f>
        <v>15230.99385</v>
      </c>
      <c r="J835" s="97"/>
      <c r="K835" s="86"/>
      <c r="L835" s="93"/>
    </row>
    <row r="836" spans="1:12" s="65" customFormat="1" ht="19.5" customHeight="1">
      <c r="A836" s="86"/>
      <c r="B836" s="86"/>
      <c r="C836" s="82">
        <v>2024</v>
      </c>
      <c r="D836" s="86">
        <f t="shared" si="91"/>
        <v>12914.336</v>
      </c>
      <c r="E836" s="86">
        <v>0</v>
      </c>
      <c r="F836" s="86"/>
      <c r="G836" s="86"/>
      <c r="H836" s="86">
        <v>0</v>
      </c>
      <c r="I836" s="86">
        <v>12914.336</v>
      </c>
      <c r="J836" s="97"/>
      <c r="K836" s="86"/>
      <c r="L836" s="93"/>
    </row>
    <row r="837" spans="1:12" s="65" customFormat="1" ht="19.5" customHeight="1">
      <c r="A837" s="86"/>
      <c r="B837" s="86"/>
      <c r="C837" s="82">
        <v>2025</v>
      </c>
      <c r="D837" s="86">
        <f t="shared" si="91"/>
        <v>12914.336</v>
      </c>
      <c r="E837" s="86">
        <v>0</v>
      </c>
      <c r="F837" s="86"/>
      <c r="G837" s="86"/>
      <c r="H837" s="86">
        <v>0</v>
      </c>
      <c r="I837" s="86">
        <v>12914.336</v>
      </c>
      <c r="J837" s="97"/>
      <c r="K837" s="86"/>
      <c r="L837" s="93"/>
    </row>
    <row r="838" spans="1:12" s="65" customFormat="1" ht="19.5" customHeight="1">
      <c r="A838" s="124" t="s">
        <v>113</v>
      </c>
      <c r="B838" s="124"/>
      <c r="C838" s="125">
        <v>2017</v>
      </c>
      <c r="D838" s="124">
        <f t="shared" si="91"/>
        <v>6500.04975</v>
      </c>
      <c r="E838" s="124">
        <v>0</v>
      </c>
      <c r="F838" s="124"/>
      <c r="G838" s="124"/>
      <c r="H838" s="124">
        <v>0</v>
      </c>
      <c r="I838" s="124">
        <f aca="true" t="shared" si="92" ref="I838:I846">I829</f>
        <v>6500.04975</v>
      </c>
      <c r="J838" s="97"/>
      <c r="K838" s="86"/>
      <c r="L838" s="93"/>
    </row>
    <row r="839" spans="1:12" s="65" customFormat="1" ht="19.5" customHeight="1">
      <c r="A839" s="124"/>
      <c r="B839" s="124"/>
      <c r="C839" s="125">
        <v>2018</v>
      </c>
      <c r="D839" s="124">
        <f aca="true" t="shared" si="93" ref="D839:D841">E839+H839+I839</f>
        <v>8299.13376</v>
      </c>
      <c r="E839" s="124">
        <f>E113+E121+E126+E149+E200+E201+E260+E262+E269+E278+E280+E289+E298+E818+E819+E826+E830</f>
        <v>0</v>
      </c>
      <c r="F839" s="124"/>
      <c r="G839" s="124"/>
      <c r="H839" s="124">
        <f>H113+H121+H126+H149+H200+H201+H260+H262+H269+H278+H280+H289+H298+H818+H819+H826+H830</f>
        <v>0</v>
      </c>
      <c r="I839" s="124">
        <f t="shared" si="92"/>
        <v>8299.13376</v>
      </c>
      <c r="J839" s="97"/>
      <c r="K839" s="98"/>
      <c r="L839" s="93"/>
    </row>
    <row r="840" spans="1:12" s="65" customFormat="1" ht="19.5" customHeight="1">
      <c r="A840" s="124"/>
      <c r="B840" s="124"/>
      <c r="C840" s="125">
        <v>2019</v>
      </c>
      <c r="D840" s="124">
        <f t="shared" si="93"/>
        <v>11105.41822</v>
      </c>
      <c r="E840" s="124">
        <f>E114+E122+E137+E202+E270+E287+E296+E820+E827+E831</f>
        <v>0</v>
      </c>
      <c r="F840" s="124"/>
      <c r="G840" s="124"/>
      <c r="H840" s="124">
        <f>H114+H122+H137+H202+H270+H287+H296+H820+H827+H831</f>
        <v>0</v>
      </c>
      <c r="I840" s="124">
        <f t="shared" si="92"/>
        <v>11105.41822</v>
      </c>
      <c r="J840" s="97"/>
      <c r="K840" s="98"/>
      <c r="L840" s="162"/>
    </row>
    <row r="841" spans="1:12" s="65" customFormat="1" ht="19.5" customHeight="1">
      <c r="A841" s="124"/>
      <c r="B841" s="124"/>
      <c r="C841" s="125">
        <v>2020</v>
      </c>
      <c r="D841" s="124">
        <f t="shared" si="93"/>
        <v>11736.468110000002</v>
      </c>
      <c r="E841" s="124">
        <f>E115+E123+E138+E216+E271+E279+E288+E297+E821+E828+E832</f>
        <v>0</v>
      </c>
      <c r="F841" s="124"/>
      <c r="G841" s="124"/>
      <c r="H841" s="124">
        <f>H115+H123+H138+H216+H271+H279+H288+H297+H821+H828+H832</f>
        <v>0</v>
      </c>
      <c r="I841" s="124">
        <f t="shared" si="92"/>
        <v>11736.468110000002</v>
      </c>
      <c r="J841" s="97"/>
      <c r="K841" s="98"/>
      <c r="L841" s="162"/>
    </row>
    <row r="842" spans="1:12" s="65" customFormat="1" ht="19.5" customHeight="1">
      <c r="A842" s="124"/>
      <c r="B842" s="124"/>
      <c r="C842" s="166">
        <v>2021</v>
      </c>
      <c r="D842" s="164">
        <f aca="true" t="shared" si="94" ref="D842:D843">I842</f>
        <v>12815.795</v>
      </c>
      <c r="E842" s="164">
        <v>0</v>
      </c>
      <c r="F842" s="164"/>
      <c r="G842" s="164"/>
      <c r="H842" s="164">
        <v>0</v>
      </c>
      <c r="I842" s="164">
        <f t="shared" si="92"/>
        <v>12815.795</v>
      </c>
      <c r="J842" s="164"/>
      <c r="K842" s="164"/>
      <c r="L842" s="162"/>
    </row>
    <row r="843" spans="1:12" s="65" customFormat="1" ht="19.5" customHeight="1">
      <c r="A843" s="124"/>
      <c r="B843" s="124"/>
      <c r="C843" s="166">
        <v>2022</v>
      </c>
      <c r="D843" s="164">
        <f t="shared" si="94"/>
        <v>13945.457</v>
      </c>
      <c r="E843" s="164">
        <v>0</v>
      </c>
      <c r="F843" s="164"/>
      <c r="G843" s="164" t="s">
        <v>71</v>
      </c>
      <c r="H843" s="164">
        <f>H834</f>
        <v>0</v>
      </c>
      <c r="I843" s="164">
        <f t="shared" si="92"/>
        <v>13945.457</v>
      </c>
      <c r="J843" s="164"/>
      <c r="K843" s="164"/>
      <c r="L843" s="162"/>
    </row>
    <row r="844" spans="1:12" s="65" customFormat="1" ht="19.5" customHeight="1">
      <c r="A844" s="124"/>
      <c r="B844" s="124"/>
      <c r="C844" s="167">
        <v>2023</v>
      </c>
      <c r="D844" s="168">
        <f>G844+H844+I844</f>
        <v>15230.99385</v>
      </c>
      <c r="E844" s="168">
        <v>0</v>
      </c>
      <c r="F844" s="168"/>
      <c r="G844" s="168"/>
      <c r="H844" s="168">
        <v>0</v>
      </c>
      <c r="I844" s="168">
        <f t="shared" si="92"/>
        <v>15230.99385</v>
      </c>
      <c r="J844" s="164"/>
      <c r="K844" s="169"/>
      <c r="L844" s="162"/>
    </row>
    <row r="845" spans="1:12" s="65" customFormat="1" ht="19.5" customHeight="1">
      <c r="A845" s="124"/>
      <c r="B845" s="124"/>
      <c r="C845" s="170">
        <v>2024</v>
      </c>
      <c r="D845" s="171">
        <f aca="true" t="shared" si="95" ref="D845:D846">I845</f>
        <v>12914.336</v>
      </c>
      <c r="E845" s="171">
        <v>0</v>
      </c>
      <c r="F845" s="171"/>
      <c r="G845" s="171"/>
      <c r="H845" s="171">
        <v>0</v>
      </c>
      <c r="I845" s="171">
        <f t="shared" si="92"/>
        <v>12914.336</v>
      </c>
      <c r="J845" s="171"/>
      <c r="K845" s="172"/>
      <c r="L845" s="173"/>
    </row>
    <row r="846" spans="1:12" s="174" customFormat="1" ht="19.5" customHeight="1">
      <c r="A846" s="124"/>
      <c r="B846" s="124"/>
      <c r="C846" s="166">
        <v>2025</v>
      </c>
      <c r="D846" s="171">
        <f t="shared" si="95"/>
        <v>12914.336</v>
      </c>
      <c r="E846" s="164">
        <v>0</v>
      </c>
      <c r="F846" s="164"/>
      <c r="G846" s="164"/>
      <c r="H846" s="164">
        <v>0</v>
      </c>
      <c r="I846" s="164">
        <f t="shared" si="92"/>
        <v>12914.336</v>
      </c>
      <c r="J846" s="164"/>
      <c r="K846" s="164"/>
      <c r="L846" s="162"/>
    </row>
    <row r="847" spans="1:12" s="65" customFormat="1" ht="19.5" customHeight="1">
      <c r="A847" s="175" t="s">
        <v>273</v>
      </c>
      <c r="B847" s="175"/>
      <c r="C847" s="175"/>
      <c r="D847" s="175"/>
      <c r="E847" s="175"/>
      <c r="F847" s="175"/>
      <c r="G847" s="175"/>
      <c r="H847" s="175"/>
      <c r="I847" s="175"/>
      <c r="J847" s="175"/>
      <c r="K847" s="175"/>
      <c r="L847" s="176"/>
    </row>
    <row r="848" spans="1:12" s="65" customFormat="1" ht="19.5" customHeight="1">
      <c r="A848" s="93" t="s">
        <v>274</v>
      </c>
      <c r="B848" s="86" t="s">
        <v>275</v>
      </c>
      <c r="C848" s="86"/>
      <c r="D848" s="86"/>
      <c r="E848" s="86"/>
      <c r="F848" s="86"/>
      <c r="G848" s="86"/>
      <c r="H848" s="86"/>
      <c r="I848" s="86"/>
      <c r="J848" s="86"/>
      <c r="K848" s="86"/>
      <c r="L848" s="86"/>
    </row>
    <row r="849" spans="1:12" s="65" customFormat="1" ht="19.5" customHeight="1">
      <c r="A849" s="86" t="s">
        <v>276</v>
      </c>
      <c r="B849" s="86" t="s">
        <v>277</v>
      </c>
      <c r="C849" s="94">
        <v>2017</v>
      </c>
      <c r="D849" s="95">
        <f>H849+I849</f>
        <v>11181.419240000001</v>
      </c>
      <c r="E849" s="95">
        <v>0</v>
      </c>
      <c r="F849" s="95">
        <f aca="true" t="shared" si="96" ref="F849:F852">G849+H849</f>
        <v>2270.1</v>
      </c>
      <c r="G849" s="95"/>
      <c r="H849" s="95">
        <v>2270.1</v>
      </c>
      <c r="I849" s="95">
        <v>8911.31924</v>
      </c>
      <c r="J849" s="113">
        <v>0</v>
      </c>
      <c r="K849" s="177" t="s">
        <v>78</v>
      </c>
      <c r="L849" s="86" t="s">
        <v>278</v>
      </c>
    </row>
    <row r="850" spans="1:12" s="65" customFormat="1" ht="19.5" customHeight="1">
      <c r="A850" s="86"/>
      <c r="B850" s="86"/>
      <c r="C850" s="94">
        <v>2018</v>
      </c>
      <c r="D850" s="95">
        <f>E850+H850+I850+J850</f>
        <v>12687.26973</v>
      </c>
      <c r="E850" s="95">
        <v>0</v>
      </c>
      <c r="F850" s="95">
        <f t="shared" si="96"/>
        <v>2741.4</v>
      </c>
      <c r="G850" s="95"/>
      <c r="H850" s="95">
        <f>2741.4</f>
        <v>2741.4</v>
      </c>
      <c r="I850" s="95">
        <f>6281.07244+2581.18215</f>
        <v>8862.25459</v>
      </c>
      <c r="J850" s="96">
        <v>1083.61514</v>
      </c>
      <c r="K850" s="177"/>
      <c r="L850" s="86"/>
    </row>
    <row r="851" spans="1:12" s="65" customFormat="1" ht="19.5" customHeight="1">
      <c r="A851" s="86"/>
      <c r="B851" s="86"/>
      <c r="C851" s="94">
        <v>2019</v>
      </c>
      <c r="D851" s="95">
        <f>F851+I851+J851</f>
        <v>12327.13844</v>
      </c>
      <c r="E851" s="95">
        <v>0</v>
      </c>
      <c r="F851" s="95">
        <f t="shared" si="96"/>
        <v>3472.5</v>
      </c>
      <c r="G851" s="95"/>
      <c r="H851" s="95">
        <v>3472.5</v>
      </c>
      <c r="I851" s="95">
        <f>4657.67224+3147.28476</f>
        <v>7804.957</v>
      </c>
      <c r="J851" s="136">
        <v>1049.68144</v>
      </c>
      <c r="K851" s="177"/>
      <c r="L851" s="86"/>
    </row>
    <row r="852" spans="1:13" s="65" customFormat="1" ht="19.5" customHeight="1">
      <c r="A852" s="86"/>
      <c r="B852" s="86"/>
      <c r="C852" s="94">
        <v>2020</v>
      </c>
      <c r="D852" s="95">
        <f>H852+I852+J852</f>
        <v>13866.77325</v>
      </c>
      <c r="E852" s="95">
        <v>0</v>
      </c>
      <c r="F852" s="95">
        <f t="shared" si="96"/>
        <v>3616.709</v>
      </c>
      <c r="G852" s="95"/>
      <c r="H852" s="95">
        <v>3616.709</v>
      </c>
      <c r="I852" s="95">
        <f>6578.836+3098.76</f>
        <v>9677.596000000001</v>
      </c>
      <c r="J852" s="96">
        <f>472.46825+100</f>
        <v>572.46825</v>
      </c>
      <c r="K852" s="177"/>
      <c r="L852" s="86"/>
      <c r="M852" s="65" t="s">
        <v>71</v>
      </c>
    </row>
    <row r="853" spans="1:12" s="65" customFormat="1" ht="19.5" customHeight="1">
      <c r="A853" s="86"/>
      <c r="B853" s="86"/>
      <c r="C853" s="94">
        <v>2021</v>
      </c>
      <c r="D853" s="95">
        <f>I853+H853+J853</f>
        <v>12965.68998</v>
      </c>
      <c r="E853" s="95">
        <v>0</v>
      </c>
      <c r="F853" s="95">
        <f aca="true" t="shared" si="97" ref="F853:F857">H853</f>
        <v>4020.329</v>
      </c>
      <c r="G853" s="95"/>
      <c r="H853" s="95">
        <v>4020.329</v>
      </c>
      <c r="I853" s="95">
        <f>8196.99034-1.62936</f>
        <v>8195.36098</v>
      </c>
      <c r="J853" s="96">
        <v>750</v>
      </c>
      <c r="K853" s="177"/>
      <c r="L853" s="86"/>
    </row>
    <row r="854" spans="1:12" s="65" customFormat="1" ht="19.5" customHeight="1">
      <c r="A854" s="86"/>
      <c r="B854" s="86"/>
      <c r="C854" s="94">
        <v>2022</v>
      </c>
      <c r="D854" s="95">
        <f>F854+I854+J854</f>
        <v>14134.132000000001</v>
      </c>
      <c r="E854" s="95">
        <v>0</v>
      </c>
      <c r="F854" s="95">
        <f t="shared" si="97"/>
        <v>4177.1</v>
      </c>
      <c r="G854" s="95"/>
      <c r="H854" s="95">
        <v>4177.1</v>
      </c>
      <c r="I854" s="95">
        <f>9228.171-103.425+82.286</f>
        <v>9207.032000000001</v>
      </c>
      <c r="J854" s="96">
        <v>750</v>
      </c>
      <c r="K854" s="177"/>
      <c r="L854" s="86"/>
    </row>
    <row r="855" spans="1:12" s="65" customFormat="1" ht="19.5" customHeight="1">
      <c r="A855" s="86"/>
      <c r="B855" s="86"/>
      <c r="C855" s="109">
        <v>2023</v>
      </c>
      <c r="D855" s="110">
        <f>I855+H855+J855</f>
        <v>14871.09806</v>
      </c>
      <c r="E855" s="110">
        <v>0</v>
      </c>
      <c r="F855" s="110">
        <f t="shared" si="97"/>
        <v>5024.674</v>
      </c>
      <c r="G855" s="110"/>
      <c r="H855" s="110">
        <f>3995.564+944.48+84.63</f>
        <v>5024.674</v>
      </c>
      <c r="I855" s="110">
        <f>9232.444+63.98006</f>
        <v>9296.42406</v>
      </c>
      <c r="J855" s="178">
        <v>550</v>
      </c>
      <c r="K855" s="177"/>
      <c r="L855" s="86"/>
    </row>
    <row r="856" spans="1:12" s="65" customFormat="1" ht="19.5" customHeight="1">
      <c r="A856" s="86"/>
      <c r="B856" s="86"/>
      <c r="C856" s="94">
        <v>2024</v>
      </c>
      <c r="D856" s="95">
        <f>F856+I856+J856</f>
        <v>13110.735</v>
      </c>
      <c r="E856" s="95">
        <v>0</v>
      </c>
      <c r="F856" s="95">
        <f t="shared" si="97"/>
        <v>3995.564</v>
      </c>
      <c r="G856" s="95"/>
      <c r="H856" s="95">
        <v>3995.564</v>
      </c>
      <c r="I856" s="95">
        <v>8565.171</v>
      </c>
      <c r="J856" s="96">
        <v>550</v>
      </c>
      <c r="K856" s="177"/>
      <c r="L856" s="86"/>
    </row>
    <row r="857" spans="1:12" s="65" customFormat="1" ht="19.5" customHeight="1">
      <c r="A857" s="86"/>
      <c r="B857" s="86"/>
      <c r="C857" s="94">
        <v>2025</v>
      </c>
      <c r="D857" s="95">
        <f>E857+F857+I857+J857</f>
        <v>13143.845000000001</v>
      </c>
      <c r="E857" s="95">
        <v>0</v>
      </c>
      <c r="F857" s="95">
        <f t="shared" si="97"/>
        <v>3995.564</v>
      </c>
      <c r="G857" s="95"/>
      <c r="H857" s="95">
        <v>3995.564</v>
      </c>
      <c r="I857" s="95">
        <v>8598.281</v>
      </c>
      <c r="J857" s="96">
        <v>550</v>
      </c>
      <c r="K857" s="177"/>
      <c r="L857" s="86"/>
    </row>
    <row r="858" spans="1:12" s="65" customFormat="1" ht="19.5" customHeight="1">
      <c r="A858" s="105" t="s">
        <v>279</v>
      </c>
      <c r="B858" s="105" t="s">
        <v>280</v>
      </c>
      <c r="C858" s="94">
        <v>2017</v>
      </c>
      <c r="D858" s="95">
        <f aca="true" t="shared" si="98" ref="D858:D861">H858+I858+J858</f>
        <v>19392.76832</v>
      </c>
      <c r="E858" s="95">
        <v>0</v>
      </c>
      <c r="F858" s="95">
        <f aca="true" t="shared" si="99" ref="F858:F861">G858+H858</f>
        <v>176</v>
      </c>
      <c r="G858" s="95"/>
      <c r="H858" s="95">
        <v>176</v>
      </c>
      <c r="I858" s="95">
        <v>19216.76832</v>
      </c>
      <c r="J858" s="96">
        <v>0</v>
      </c>
      <c r="K858" s="177" t="s">
        <v>148</v>
      </c>
      <c r="L858" s="86"/>
    </row>
    <row r="859" spans="1:12" s="65" customFormat="1" ht="19.5" customHeight="1">
      <c r="A859" s="105"/>
      <c r="B859" s="105"/>
      <c r="C859" s="94">
        <v>2018</v>
      </c>
      <c r="D859" s="95">
        <f t="shared" si="98"/>
        <v>19564.29559</v>
      </c>
      <c r="E859" s="95">
        <v>0</v>
      </c>
      <c r="F859" s="95">
        <f t="shared" si="99"/>
        <v>377.618</v>
      </c>
      <c r="G859" s="95"/>
      <c r="H859" s="95">
        <f>377.618</f>
        <v>377.618</v>
      </c>
      <c r="I859" s="95">
        <f>15699.79296+1754.72854</f>
        <v>17454.521500000003</v>
      </c>
      <c r="J859" s="96">
        <v>1732.15609</v>
      </c>
      <c r="K859" s="177"/>
      <c r="L859" s="86"/>
    </row>
    <row r="860" spans="1:12" s="65" customFormat="1" ht="19.5" customHeight="1">
      <c r="A860" s="105"/>
      <c r="B860" s="105"/>
      <c r="C860" s="94">
        <v>2019</v>
      </c>
      <c r="D860" s="95">
        <f t="shared" si="98"/>
        <v>18612.268150000004</v>
      </c>
      <c r="E860" s="95">
        <v>0</v>
      </c>
      <c r="F860" s="95">
        <f t="shared" si="99"/>
        <v>427.364</v>
      </c>
      <c r="G860" s="95"/>
      <c r="H860" s="95">
        <v>427.364</v>
      </c>
      <c r="I860" s="95">
        <f>11854.18705+2523.8044+22.5+1607.853</f>
        <v>16008.34445</v>
      </c>
      <c r="J860" s="96">
        <f>1926.5597+250</f>
        <v>2176.5597</v>
      </c>
      <c r="K860" s="177"/>
      <c r="L860" s="86"/>
    </row>
    <row r="861" spans="1:12" s="65" customFormat="1" ht="19.5" customHeight="1">
      <c r="A861" s="105"/>
      <c r="B861" s="105"/>
      <c r="C861" s="94">
        <v>2020</v>
      </c>
      <c r="D861" s="95">
        <f t="shared" si="98"/>
        <v>19516.943529999997</v>
      </c>
      <c r="E861" s="95">
        <v>0</v>
      </c>
      <c r="F861" s="95">
        <f t="shared" si="99"/>
        <v>476</v>
      </c>
      <c r="G861" s="95"/>
      <c r="H861" s="95">
        <f>476</f>
        <v>476</v>
      </c>
      <c r="I861" s="95">
        <f>12985.506+2311.533+71.127+1707.574</f>
        <v>17075.739999999998</v>
      </c>
      <c r="J861" s="96">
        <f>1745.20353+220</f>
        <v>1965.20353</v>
      </c>
      <c r="K861" s="177"/>
      <c r="L861" s="86"/>
    </row>
    <row r="862" spans="1:12" s="65" customFormat="1" ht="19.5" customHeight="1">
      <c r="A862" s="105"/>
      <c r="B862" s="105"/>
      <c r="C862" s="94">
        <v>2021</v>
      </c>
      <c r="D862" s="95">
        <f>F862+I862+J862</f>
        <v>0</v>
      </c>
      <c r="E862" s="95">
        <v>0</v>
      </c>
      <c r="F862" s="95">
        <f aca="true" t="shared" si="100" ref="F862:F864">H862</f>
        <v>0</v>
      </c>
      <c r="G862" s="95"/>
      <c r="H862" s="95">
        <v>0</v>
      </c>
      <c r="I862" s="95">
        <v>0</v>
      </c>
      <c r="J862" s="136">
        <v>0</v>
      </c>
      <c r="K862" s="177"/>
      <c r="L862" s="86"/>
    </row>
    <row r="863" spans="1:12" s="65" customFormat="1" ht="19.5" customHeight="1">
      <c r="A863" s="105"/>
      <c r="B863" s="105"/>
      <c r="C863" s="94">
        <v>2022</v>
      </c>
      <c r="D863" s="95">
        <f>H863+I863+J863</f>
        <v>0</v>
      </c>
      <c r="E863" s="95">
        <v>0</v>
      </c>
      <c r="F863" s="95">
        <f t="shared" si="100"/>
        <v>0</v>
      </c>
      <c r="G863" s="95"/>
      <c r="H863" s="95">
        <v>0</v>
      </c>
      <c r="I863" s="95">
        <v>0</v>
      </c>
      <c r="J863" s="95">
        <v>0</v>
      </c>
      <c r="K863" s="177"/>
      <c r="L863" s="86"/>
    </row>
    <row r="864" spans="1:12" s="65" customFormat="1" ht="19.5" customHeight="1">
      <c r="A864" s="105"/>
      <c r="B864" s="105"/>
      <c r="C864" s="94">
        <v>2023</v>
      </c>
      <c r="D864" s="95">
        <f>F864+I864+J864</f>
        <v>0</v>
      </c>
      <c r="E864" s="95">
        <v>0</v>
      </c>
      <c r="F864" s="95">
        <f t="shared" si="100"/>
        <v>0</v>
      </c>
      <c r="G864" s="95"/>
      <c r="H864" s="95">
        <v>0</v>
      </c>
      <c r="I864" s="95">
        <v>0</v>
      </c>
      <c r="J864" s="136">
        <v>0</v>
      </c>
      <c r="K864" s="177"/>
      <c r="L864" s="86"/>
    </row>
    <row r="865" spans="1:12" s="65" customFormat="1" ht="19.5" customHeight="1">
      <c r="A865" s="86" t="s">
        <v>281</v>
      </c>
      <c r="B865" s="86" t="s">
        <v>282</v>
      </c>
      <c r="C865" s="94">
        <v>2017</v>
      </c>
      <c r="D865" s="95">
        <f>H865+I865</f>
        <v>7571.59784</v>
      </c>
      <c r="E865" s="95">
        <v>0</v>
      </c>
      <c r="F865" s="95">
        <f aca="true" t="shared" si="101" ref="F865:F868">G865+H865</f>
        <v>2218.895</v>
      </c>
      <c r="G865" s="95"/>
      <c r="H865" s="95">
        <v>2218.895</v>
      </c>
      <c r="I865" s="95">
        <v>5352.70284</v>
      </c>
      <c r="J865" s="96">
        <v>0</v>
      </c>
      <c r="K865" s="177" t="s">
        <v>156</v>
      </c>
      <c r="L865" s="86"/>
    </row>
    <row r="866" spans="1:12" s="65" customFormat="1" ht="19.5" customHeight="1">
      <c r="A866" s="86"/>
      <c r="B866" s="86"/>
      <c r="C866" s="94">
        <v>2018</v>
      </c>
      <c r="D866" s="95">
        <f>E866+H866+I866+J866</f>
        <v>9132.78455</v>
      </c>
      <c r="E866" s="95">
        <v>0</v>
      </c>
      <c r="F866" s="95">
        <f t="shared" si="101"/>
        <v>2708.303</v>
      </c>
      <c r="G866" s="95"/>
      <c r="H866" s="95">
        <f>2708.303</f>
        <v>2708.303</v>
      </c>
      <c r="I866" s="95">
        <f>3875.09134+1687.55323</f>
        <v>5562.64457</v>
      </c>
      <c r="J866" s="96">
        <v>861.83698</v>
      </c>
      <c r="K866" s="177"/>
      <c r="L866" s="86"/>
    </row>
    <row r="867" spans="1:12" s="65" customFormat="1" ht="19.5" customHeight="1">
      <c r="A867" s="86"/>
      <c r="B867" s="86"/>
      <c r="C867" s="94">
        <v>2019</v>
      </c>
      <c r="D867" s="95">
        <f aca="true" t="shared" si="102" ref="D867:D869">H867+I867+J867</f>
        <v>8303.90225</v>
      </c>
      <c r="E867" s="95">
        <v>0</v>
      </c>
      <c r="F867" s="95">
        <f t="shared" si="101"/>
        <v>2435.886</v>
      </c>
      <c r="G867" s="95"/>
      <c r="H867" s="95">
        <v>2435.886</v>
      </c>
      <c r="I867" s="95">
        <f>2523.363+2303.981+23.79343</f>
        <v>4851.13743</v>
      </c>
      <c r="J867" s="96">
        <f>866.87882+150</f>
        <v>1016.87882</v>
      </c>
      <c r="K867" s="177"/>
      <c r="L867" s="86"/>
    </row>
    <row r="868" spans="1:12" s="65" customFormat="1" ht="19.5" customHeight="1">
      <c r="A868" s="86"/>
      <c r="B868" s="86"/>
      <c r="C868" s="94">
        <v>2020</v>
      </c>
      <c r="D868" s="95">
        <f t="shared" si="102"/>
        <v>8957.809860000001</v>
      </c>
      <c r="E868" s="95">
        <v>0</v>
      </c>
      <c r="F868" s="95">
        <f t="shared" si="101"/>
        <v>2598.636</v>
      </c>
      <c r="G868" s="95"/>
      <c r="H868" s="95">
        <v>2598.636</v>
      </c>
      <c r="I868" s="95">
        <f>3607.222+2455.442</f>
        <v>6062.664000000001</v>
      </c>
      <c r="J868" s="96">
        <f>196.50986+100</f>
        <v>296.50986</v>
      </c>
      <c r="K868" s="177"/>
      <c r="L868" s="86"/>
    </row>
    <row r="869" spans="1:12" s="65" customFormat="1" ht="19.5" customHeight="1">
      <c r="A869" s="86"/>
      <c r="B869" s="86"/>
      <c r="C869" s="94">
        <v>2021</v>
      </c>
      <c r="D869" s="95">
        <f t="shared" si="102"/>
        <v>9762.65034</v>
      </c>
      <c r="E869" s="95">
        <v>0</v>
      </c>
      <c r="F869" s="95">
        <f aca="true" t="shared" si="103" ref="F869:F873">H869</f>
        <v>3093.396</v>
      </c>
      <c r="G869" s="95"/>
      <c r="H869" s="95">
        <v>3093.396</v>
      </c>
      <c r="I869" s="95">
        <f>5829.25434</f>
        <v>5829.25434</v>
      </c>
      <c r="J869" s="96">
        <v>840</v>
      </c>
      <c r="K869" s="177"/>
      <c r="L869" s="86"/>
    </row>
    <row r="870" spans="1:12" s="65" customFormat="1" ht="19.5" customHeight="1">
      <c r="A870" s="86"/>
      <c r="B870" s="86"/>
      <c r="C870" s="94">
        <v>2022</v>
      </c>
      <c r="D870" s="95">
        <f>F870+I870+J870</f>
        <v>10818.779</v>
      </c>
      <c r="E870" s="95">
        <v>0</v>
      </c>
      <c r="F870" s="95">
        <f t="shared" si="103"/>
        <v>3512.5</v>
      </c>
      <c r="G870" s="95"/>
      <c r="H870" s="95">
        <v>3512.5</v>
      </c>
      <c r="I870" s="95">
        <v>6466.279</v>
      </c>
      <c r="J870" s="96">
        <v>840</v>
      </c>
      <c r="K870" s="177"/>
      <c r="L870" s="86"/>
    </row>
    <row r="871" spans="1:12" s="65" customFormat="1" ht="19.5" customHeight="1">
      <c r="A871" s="86"/>
      <c r="B871" s="86"/>
      <c r="C871" s="109">
        <v>2023</v>
      </c>
      <c r="D871" s="110">
        <f>H871+I871+J871</f>
        <v>11613.8024</v>
      </c>
      <c r="E871" s="110">
        <v>0</v>
      </c>
      <c r="F871" s="110">
        <f t="shared" si="103"/>
        <v>4447.657999999999</v>
      </c>
      <c r="G871" s="110"/>
      <c r="H871" s="110">
        <f>3201.21+564.2+682.248</f>
        <v>4447.657999999999</v>
      </c>
      <c r="I871" s="110">
        <f>5997.666+460.532+47.6284-682.248</f>
        <v>5823.5784</v>
      </c>
      <c r="J871" s="178">
        <v>1342.566</v>
      </c>
      <c r="K871" s="177"/>
      <c r="L871" s="86"/>
    </row>
    <row r="872" spans="1:12" s="65" customFormat="1" ht="19.5" customHeight="1">
      <c r="A872" s="86"/>
      <c r="B872" s="86"/>
      <c r="C872" s="82">
        <v>2024</v>
      </c>
      <c r="D872" s="179">
        <f>F872+I872+J872</f>
        <v>9786.167000000001</v>
      </c>
      <c r="E872" s="86">
        <v>0</v>
      </c>
      <c r="F872" s="86">
        <f t="shared" si="103"/>
        <v>3201.21</v>
      </c>
      <c r="G872" s="86"/>
      <c r="H872" s="86">
        <v>3201.21</v>
      </c>
      <c r="I872" s="86">
        <v>5784.957</v>
      </c>
      <c r="J872" s="97">
        <v>800</v>
      </c>
      <c r="K872" s="177"/>
      <c r="L872" s="86"/>
    </row>
    <row r="873" spans="1:12" s="65" customFormat="1" ht="19.5" customHeight="1">
      <c r="A873" s="86"/>
      <c r="B873" s="86"/>
      <c r="C873" s="82">
        <v>2025</v>
      </c>
      <c r="D873" s="179">
        <f>E873+F873+I873+J873</f>
        <v>9819.264</v>
      </c>
      <c r="E873" s="86">
        <v>0</v>
      </c>
      <c r="F873" s="86">
        <f t="shared" si="103"/>
        <v>3201.21</v>
      </c>
      <c r="G873" s="86"/>
      <c r="H873" s="86">
        <v>3201.21</v>
      </c>
      <c r="I873" s="86">
        <v>5818.054</v>
      </c>
      <c r="J873" s="97">
        <v>800</v>
      </c>
      <c r="K873" s="177"/>
      <c r="L873" s="86"/>
    </row>
    <row r="874" spans="1:12" s="65" customFormat="1" ht="19.5" customHeight="1">
      <c r="A874" s="86" t="s">
        <v>283</v>
      </c>
      <c r="B874" s="86" t="s">
        <v>284</v>
      </c>
      <c r="C874" s="82">
        <v>2017</v>
      </c>
      <c r="D874" s="86">
        <f>H874+I874+J874</f>
        <v>7311.10506</v>
      </c>
      <c r="E874" s="86">
        <v>0</v>
      </c>
      <c r="F874" s="86">
        <f aca="true" t="shared" si="104" ref="F874:F877">G874+H874</f>
        <v>1796.192</v>
      </c>
      <c r="G874" s="86"/>
      <c r="H874" s="86">
        <v>1796.192</v>
      </c>
      <c r="I874" s="86">
        <v>5514.91306</v>
      </c>
      <c r="J874" s="97">
        <v>0</v>
      </c>
      <c r="K874" s="177" t="s">
        <v>122</v>
      </c>
      <c r="L874" s="86"/>
    </row>
    <row r="875" spans="1:12" s="65" customFormat="1" ht="19.5" customHeight="1">
      <c r="A875" s="86"/>
      <c r="B875" s="86"/>
      <c r="C875" s="82">
        <v>2018</v>
      </c>
      <c r="D875" s="86">
        <f>E875+H875+I875+J875</f>
        <v>7880.230140000001</v>
      </c>
      <c r="E875" s="86">
        <v>0</v>
      </c>
      <c r="F875" s="86">
        <f t="shared" si="104"/>
        <v>1605.97</v>
      </c>
      <c r="G875" s="86"/>
      <c r="H875" s="86">
        <v>1605.97</v>
      </c>
      <c r="I875" s="86">
        <f>3872.66396+1732.99351</f>
        <v>5605.65747</v>
      </c>
      <c r="J875" s="97">
        <v>668.60267</v>
      </c>
      <c r="K875" s="177"/>
      <c r="L875" s="86"/>
    </row>
    <row r="876" spans="1:12" s="65" customFormat="1" ht="19.5" customHeight="1">
      <c r="A876" s="86"/>
      <c r="B876" s="86"/>
      <c r="C876" s="82">
        <v>2019</v>
      </c>
      <c r="D876" s="86">
        <f>F876+I876+J876</f>
        <v>9120.455909999999</v>
      </c>
      <c r="E876" s="86">
        <v>0</v>
      </c>
      <c r="F876" s="86">
        <f t="shared" si="104"/>
        <v>1474.984</v>
      </c>
      <c r="G876" s="86"/>
      <c r="H876" s="86">
        <v>1474.984</v>
      </c>
      <c r="I876" s="86">
        <f>1825.366+1830.649+132.158</f>
        <v>3788.173</v>
      </c>
      <c r="J876" s="97">
        <f>3707.29891+150</f>
        <v>3857.29891</v>
      </c>
      <c r="K876" s="177"/>
      <c r="L876" s="86"/>
    </row>
    <row r="877" spans="1:12" s="65" customFormat="1" ht="19.5" customHeight="1">
      <c r="A877" s="86"/>
      <c r="B877" s="86"/>
      <c r="C877" s="82">
        <v>2020</v>
      </c>
      <c r="D877" s="86">
        <f aca="true" t="shared" si="105" ref="D877:D878">H877+I877+J877</f>
        <v>9007.71767</v>
      </c>
      <c r="E877" s="86">
        <v>0</v>
      </c>
      <c r="F877" s="86">
        <f t="shared" si="104"/>
        <v>1474.984</v>
      </c>
      <c r="G877" s="86"/>
      <c r="H877" s="86">
        <f>1474.984</f>
        <v>1474.984</v>
      </c>
      <c r="I877" s="86">
        <f>3706.741+1896.171</f>
        <v>5602.912</v>
      </c>
      <c r="J877" s="97">
        <f>1709.82167+220</f>
        <v>1929.82167</v>
      </c>
      <c r="K877" s="177"/>
      <c r="L877" s="86"/>
    </row>
    <row r="878" spans="1:12" s="65" customFormat="1" ht="19.5" customHeight="1">
      <c r="A878" s="86"/>
      <c r="B878" s="86"/>
      <c r="C878" s="82">
        <v>2021</v>
      </c>
      <c r="D878" s="86">
        <f t="shared" si="105"/>
        <v>11408.58989</v>
      </c>
      <c r="E878" s="86">
        <v>0</v>
      </c>
      <c r="F878" s="86">
        <f aca="true" t="shared" si="106" ref="F878:F882">H878</f>
        <v>1814.9</v>
      </c>
      <c r="G878" s="86"/>
      <c r="H878" s="86">
        <v>1814.9</v>
      </c>
      <c r="I878" s="86">
        <f>5693.68989</f>
        <v>5693.68989</v>
      </c>
      <c r="J878" s="97">
        <v>3900</v>
      </c>
      <c r="K878" s="177"/>
      <c r="L878" s="86"/>
    </row>
    <row r="879" spans="1:12" s="65" customFormat="1" ht="19.5" customHeight="1">
      <c r="A879" s="86"/>
      <c r="B879" s="86"/>
      <c r="C879" s="82">
        <v>2022</v>
      </c>
      <c r="D879" s="86">
        <f>F879+I879+J879</f>
        <v>12178.117</v>
      </c>
      <c r="E879" s="86">
        <v>0</v>
      </c>
      <c r="F879" s="86">
        <f t="shared" si="106"/>
        <v>2164.4</v>
      </c>
      <c r="G879" s="86"/>
      <c r="H879" s="86">
        <v>2164.4</v>
      </c>
      <c r="I879" s="86">
        <v>6113.717</v>
      </c>
      <c r="J879" s="97">
        <v>3900</v>
      </c>
      <c r="K879" s="177"/>
      <c r="L879" s="86"/>
    </row>
    <row r="880" spans="1:12" s="65" customFormat="1" ht="19.5" customHeight="1">
      <c r="A880" s="86"/>
      <c r="B880" s="86"/>
      <c r="C880" s="101">
        <v>2023</v>
      </c>
      <c r="D880" s="102">
        <f>H880+I880+J880</f>
        <v>10875.93958</v>
      </c>
      <c r="E880" s="102">
        <v>0</v>
      </c>
      <c r="F880" s="102">
        <f t="shared" si="106"/>
        <v>2371.914</v>
      </c>
      <c r="G880" s="102"/>
      <c r="H880" s="102">
        <f>2229.414+402.9-260.4</f>
        <v>2371.914</v>
      </c>
      <c r="I880" s="102">
        <f>5803.756+114.916+69.048+37.70658+260.4</f>
        <v>6285.82658</v>
      </c>
      <c r="J880" s="144">
        <v>2218.199</v>
      </c>
      <c r="K880" s="177"/>
      <c r="L880" s="86"/>
    </row>
    <row r="881" spans="1:12" s="65" customFormat="1" ht="19.5" customHeight="1">
      <c r="A881" s="86"/>
      <c r="B881" s="86"/>
      <c r="C881" s="82">
        <v>2024</v>
      </c>
      <c r="D881" s="86">
        <f>F881+I881+J881</f>
        <v>9535.434000000001</v>
      </c>
      <c r="E881" s="86">
        <v>0</v>
      </c>
      <c r="F881" s="86">
        <f t="shared" si="106"/>
        <v>2229.414</v>
      </c>
      <c r="G881" s="86"/>
      <c r="H881" s="86">
        <v>2229.414</v>
      </c>
      <c r="I881" s="86">
        <v>6106.02</v>
      </c>
      <c r="J881" s="97">
        <v>1200</v>
      </c>
      <c r="K881" s="177"/>
      <c r="L881" s="86"/>
    </row>
    <row r="882" spans="1:12" s="65" customFormat="1" ht="19.5" customHeight="1">
      <c r="A882" s="86"/>
      <c r="B882" s="86"/>
      <c r="C882" s="82">
        <v>2025</v>
      </c>
      <c r="D882" s="86">
        <f>E882+F882+I882+J882</f>
        <v>9568.314</v>
      </c>
      <c r="E882" s="86">
        <v>0</v>
      </c>
      <c r="F882" s="86">
        <f t="shared" si="106"/>
        <v>2229.414</v>
      </c>
      <c r="G882" s="86"/>
      <c r="H882" s="86">
        <v>2229.414</v>
      </c>
      <c r="I882" s="86">
        <v>6138.9</v>
      </c>
      <c r="J882" s="97">
        <v>1200</v>
      </c>
      <c r="K882" s="177"/>
      <c r="L882" s="86"/>
    </row>
    <row r="883" spans="1:12" s="65" customFormat="1" ht="19.5" customHeight="1">
      <c r="A883" s="86" t="s">
        <v>285</v>
      </c>
      <c r="B883" s="86" t="s">
        <v>286</v>
      </c>
      <c r="C883" s="82">
        <v>2017</v>
      </c>
      <c r="D883" s="86">
        <f>H883+I883</f>
        <v>1787.53995</v>
      </c>
      <c r="E883" s="86">
        <v>0</v>
      </c>
      <c r="F883" s="86">
        <v>0</v>
      </c>
      <c r="G883" s="86"/>
      <c r="H883" s="86">
        <v>0</v>
      </c>
      <c r="I883" s="86">
        <v>1787.53995</v>
      </c>
      <c r="J883" s="97">
        <v>0</v>
      </c>
      <c r="K883" s="177" t="s">
        <v>134</v>
      </c>
      <c r="L883" s="86"/>
    </row>
    <row r="884" spans="1:12" s="65" customFormat="1" ht="19.5" customHeight="1">
      <c r="A884" s="86"/>
      <c r="B884" s="86"/>
      <c r="C884" s="82">
        <v>2018</v>
      </c>
      <c r="D884" s="86">
        <f>E884+H884+I884+J884</f>
        <v>2010.1684899999998</v>
      </c>
      <c r="E884" s="86">
        <v>0</v>
      </c>
      <c r="F884" s="86">
        <v>0</v>
      </c>
      <c r="G884" s="86"/>
      <c r="H884" s="86">
        <v>0</v>
      </c>
      <c r="I884" s="86">
        <f>1396.513+40.091-0.01909</f>
        <v>1436.5849099999998</v>
      </c>
      <c r="J884" s="97">
        <v>573.58358</v>
      </c>
      <c r="K884" s="177"/>
      <c r="L884" s="86"/>
    </row>
    <row r="885" spans="1:12" s="65" customFormat="1" ht="19.5" customHeight="1">
      <c r="A885" s="86"/>
      <c r="B885" s="86"/>
      <c r="C885" s="82">
        <v>2019</v>
      </c>
      <c r="D885" s="86">
        <f>E885+I885+J885</f>
        <v>2727.52317</v>
      </c>
      <c r="E885" s="86">
        <v>0</v>
      </c>
      <c r="F885" s="86">
        <v>0</v>
      </c>
      <c r="G885" s="86"/>
      <c r="H885" s="86">
        <v>0</v>
      </c>
      <c r="I885" s="86">
        <f>2012.398</f>
        <v>2012.398</v>
      </c>
      <c r="J885" s="97">
        <f>615.12517+100</f>
        <v>715.12517</v>
      </c>
      <c r="K885" s="177"/>
      <c r="L885" s="86"/>
    </row>
    <row r="886" spans="1:12" s="65" customFormat="1" ht="19.5" customHeight="1">
      <c r="A886" s="86"/>
      <c r="B886" s="86"/>
      <c r="C886" s="82">
        <v>2020</v>
      </c>
      <c r="D886" s="86">
        <f>I886+J886</f>
        <v>2518.4664000000002</v>
      </c>
      <c r="E886" s="86">
        <v>0</v>
      </c>
      <c r="F886" s="86">
        <v>0</v>
      </c>
      <c r="G886" s="86"/>
      <c r="H886" s="86">
        <v>0</v>
      </c>
      <c r="I886" s="86">
        <f>1976.976+24.612</f>
        <v>2001.5880000000002</v>
      </c>
      <c r="J886" s="97">
        <f>416.8784+100</f>
        <v>516.8784</v>
      </c>
      <c r="K886" s="177"/>
      <c r="L886" s="86"/>
    </row>
    <row r="887" spans="1:12" s="65" customFormat="1" ht="19.5" customHeight="1">
      <c r="A887" s="86"/>
      <c r="B887" s="86"/>
      <c r="C887" s="82">
        <v>2021</v>
      </c>
      <c r="D887" s="86">
        <f>H887+I887+J887</f>
        <v>3085.96133</v>
      </c>
      <c r="E887" s="86">
        <v>0</v>
      </c>
      <c r="F887" s="86">
        <v>0</v>
      </c>
      <c r="G887" s="86"/>
      <c r="H887" s="86">
        <f>H886</f>
        <v>0</v>
      </c>
      <c r="I887" s="86">
        <f>2034.39145+151.56988</f>
        <v>2185.96133</v>
      </c>
      <c r="J887" s="97">
        <v>900</v>
      </c>
      <c r="K887" s="177"/>
      <c r="L887" s="86"/>
    </row>
    <row r="888" spans="1:12" s="65" customFormat="1" ht="19.5" customHeight="1">
      <c r="A888" s="86"/>
      <c r="B888" s="86"/>
      <c r="C888" s="82">
        <v>2022</v>
      </c>
      <c r="D888" s="86">
        <f>I888+J888</f>
        <v>3053.98066</v>
      </c>
      <c r="E888" s="86">
        <v>0</v>
      </c>
      <c r="F888" s="86">
        <v>0</v>
      </c>
      <c r="G888" s="86"/>
      <c r="H888" s="86">
        <v>0</v>
      </c>
      <c r="I888" s="86">
        <v>2203.98066</v>
      </c>
      <c r="J888" s="97">
        <v>850</v>
      </c>
      <c r="K888" s="177"/>
      <c r="L888" s="86"/>
    </row>
    <row r="889" spans="1:12" s="65" customFormat="1" ht="19.5" customHeight="1">
      <c r="A889" s="86"/>
      <c r="B889" s="86"/>
      <c r="C889" s="101">
        <v>2023</v>
      </c>
      <c r="D889" s="102">
        <f>H889+I889+J889</f>
        <v>3379.99738</v>
      </c>
      <c r="E889" s="102">
        <v>0</v>
      </c>
      <c r="F889" s="102">
        <v>0</v>
      </c>
      <c r="G889" s="102"/>
      <c r="H889" s="102">
        <f>H887</f>
        <v>0</v>
      </c>
      <c r="I889" s="102">
        <f>2242.495+37.50238</f>
        <v>2279.99738</v>
      </c>
      <c r="J889" s="144">
        <v>1100</v>
      </c>
      <c r="K889" s="177"/>
      <c r="L889" s="86"/>
    </row>
    <row r="890" spans="1:12" s="65" customFormat="1" ht="19.5" customHeight="1">
      <c r="A890" s="86"/>
      <c r="B890" s="86"/>
      <c r="C890" s="82">
        <v>2024</v>
      </c>
      <c r="D890" s="86">
        <f>I890+J890</f>
        <v>3223.314</v>
      </c>
      <c r="E890" s="86">
        <v>0</v>
      </c>
      <c r="F890" s="86">
        <v>0</v>
      </c>
      <c r="G890" s="86"/>
      <c r="H890" s="86">
        <v>0</v>
      </c>
      <c r="I890" s="86">
        <v>2223.314</v>
      </c>
      <c r="J890" s="97">
        <v>1000</v>
      </c>
      <c r="K890" s="177"/>
      <c r="L890" s="86"/>
    </row>
    <row r="891" spans="1:12" s="65" customFormat="1" ht="19.5" customHeight="1">
      <c r="A891" s="86"/>
      <c r="B891" s="86"/>
      <c r="C891" s="82">
        <v>2025</v>
      </c>
      <c r="D891" s="86">
        <f>E891+F891+I891+J891</f>
        <v>3216.992</v>
      </c>
      <c r="E891" s="86">
        <v>0</v>
      </c>
      <c r="F891" s="86">
        <f>G891+H891</f>
        <v>0</v>
      </c>
      <c r="G891" s="86"/>
      <c r="H891" s="86">
        <v>0</v>
      </c>
      <c r="I891" s="86">
        <v>2216.992</v>
      </c>
      <c r="J891" s="97">
        <v>1000</v>
      </c>
      <c r="K891" s="177"/>
      <c r="L891" s="86"/>
    </row>
    <row r="892" spans="1:12" s="65" customFormat="1" ht="19.5" customHeight="1">
      <c r="A892" s="86" t="s">
        <v>287</v>
      </c>
      <c r="B892" s="86" t="s">
        <v>288</v>
      </c>
      <c r="C892" s="82">
        <v>2017</v>
      </c>
      <c r="D892" s="86">
        <f>H892+I892</f>
        <v>3025.10411</v>
      </c>
      <c r="E892" s="86">
        <v>0</v>
      </c>
      <c r="F892" s="86">
        <f>H892+G892</f>
        <v>1177.145</v>
      </c>
      <c r="G892" s="86"/>
      <c r="H892" s="86">
        <v>1177.145</v>
      </c>
      <c r="I892" s="86">
        <v>1847.95911</v>
      </c>
      <c r="J892" s="97">
        <v>0</v>
      </c>
      <c r="K892" s="136" t="s">
        <v>166</v>
      </c>
      <c r="L892" s="86"/>
    </row>
    <row r="893" spans="1:12" s="65" customFormat="1" ht="19.5" customHeight="1">
      <c r="A893" s="86"/>
      <c r="B893" s="86"/>
      <c r="C893" s="82">
        <v>2018</v>
      </c>
      <c r="D893" s="86">
        <f>E893+H893+I893</f>
        <v>2856.56973</v>
      </c>
      <c r="E893" s="86">
        <v>0</v>
      </c>
      <c r="F893" s="86">
        <f aca="true" t="shared" si="107" ref="F893:F895">G893+H893</f>
        <v>1236.702</v>
      </c>
      <c r="G893" s="86"/>
      <c r="H893" s="86">
        <v>1236.702</v>
      </c>
      <c r="I893" s="86">
        <f>583.44253+1036.4252</f>
        <v>1619.86773</v>
      </c>
      <c r="J893" s="97">
        <v>0</v>
      </c>
      <c r="K893" s="136"/>
      <c r="L893" s="86"/>
    </row>
    <row r="894" spans="1:12" s="65" customFormat="1" ht="19.5" customHeight="1">
      <c r="A894" s="86"/>
      <c r="B894" s="86"/>
      <c r="C894" s="82">
        <v>2019</v>
      </c>
      <c r="D894" s="86">
        <f aca="true" t="shared" si="108" ref="D894:D898">H894+I894+J894</f>
        <v>3233.91</v>
      </c>
      <c r="E894" s="86">
        <v>0</v>
      </c>
      <c r="F894" s="86">
        <f t="shared" si="107"/>
        <v>1262.191</v>
      </c>
      <c r="G894" s="86"/>
      <c r="H894" s="86">
        <f>1262.191</f>
        <v>1262.191</v>
      </c>
      <c r="I894" s="86">
        <f>660.205+1311.514</f>
        <v>1971.719</v>
      </c>
      <c r="J894" s="97">
        <v>0</v>
      </c>
      <c r="K894" s="136"/>
      <c r="L894" s="86"/>
    </row>
    <row r="895" spans="1:12" s="65" customFormat="1" ht="19.5" customHeight="1">
      <c r="A895" s="86"/>
      <c r="B895" s="86"/>
      <c r="C895" s="82">
        <v>2020</v>
      </c>
      <c r="D895" s="86">
        <f t="shared" si="108"/>
        <v>3436.75</v>
      </c>
      <c r="E895" s="86">
        <v>0</v>
      </c>
      <c r="F895" s="86">
        <f t="shared" si="107"/>
        <v>1405.42</v>
      </c>
      <c r="G895" s="86"/>
      <c r="H895" s="86">
        <f>1405.42</f>
        <v>1405.42</v>
      </c>
      <c r="I895" s="86">
        <f>714.875+1299.455+17</f>
        <v>2031.33</v>
      </c>
      <c r="J895" s="97">
        <v>0</v>
      </c>
      <c r="K895" s="136"/>
      <c r="L895" s="86"/>
    </row>
    <row r="896" spans="1:12" s="65" customFormat="1" ht="19.5" customHeight="1">
      <c r="A896" s="86"/>
      <c r="B896" s="86"/>
      <c r="C896" s="82">
        <v>2021</v>
      </c>
      <c r="D896" s="86">
        <f t="shared" si="108"/>
        <v>3689.72892</v>
      </c>
      <c r="E896" s="86">
        <v>0</v>
      </c>
      <c r="F896" s="86">
        <f aca="true" t="shared" si="109" ref="F896:F900">H896</f>
        <v>1643.74</v>
      </c>
      <c r="G896" s="86"/>
      <c r="H896" s="86">
        <v>1643.74</v>
      </c>
      <c r="I896" s="86">
        <f>2045.98892</f>
        <v>2045.98892</v>
      </c>
      <c r="J896" s="97">
        <f aca="true" t="shared" si="110" ref="J896:J897">J26</f>
        <v>0</v>
      </c>
      <c r="K896" s="136"/>
      <c r="L896" s="86"/>
    </row>
    <row r="897" spans="1:12" s="65" customFormat="1" ht="19.5" customHeight="1">
      <c r="A897" s="86"/>
      <c r="B897" s="86"/>
      <c r="C897" s="82">
        <v>2022</v>
      </c>
      <c r="D897" s="86">
        <f t="shared" si="108"/>
        <v>3942.728</v>
      </c>
      <c r="E897" s="86">
        <v>0</v>
      </c>
      <c r="F897" s="86">
        <f t="shared" si="109"/>
        <v>1829.24</v>
      </c>
      <c r="G897" s="86"/>
      <c r="H897" s="86">
        <v>1829.24</v>
      </c>
      <c r="I897" s="86">
        <v>2113.488</v>
      </c>
      <c r="J897" s="97">
        <f t="shared" si="110"/>
        <v>0</v>
      </c>
      <c r="K897" s="136"/>
      <c r="L897" s="86"/>
    </row>
    <row r="898" spans="1:12" s="65" customFormat="1" ht="19.5" customHeight="1">
      <c r="A898" s="86"/>
      <c r="B898" s="86"/>
      <c r="C898" s="101">
        <v>2023</v>
      </c>
      <c r="D898" s="102">
        <f t="shared" si="108"/>
        <v>4227.0736799999995</v>
      </c>
      <c r="E898" s="102">
        <v>0</v>
      </c>
      <c r="F898" s="102">
        <f t="shared" si="109"/>
        <v>2057.434</v>
      </c>
      <c r="G898" s="102"/>
      <c r="H898" s="102">
        <f>1714.934+342.5</f>
        <v>2057.434</v>
      </c>
      <c r="I898" s="102">
        <f>2108.485+46.776+14.37868</f>
        <v>2169.6396799999998</v>
      </c>
      <c r="J898" s="144">
        <v>0</v>
      </c>
      <c r="K898" s="136"/>
      <c r="L898" s="86"/>
    </row>
    <row r="899" spans="1:12" s="65" customFormat="1" ht="19.5" customHeight="1">
      <c r="A899" s="86"/>
      <c r="B899" s="86"/>
      <c r="C899" s="82">
        <v>2024</v>
      </c>
      <c r="D899" s="86">
        <f aca="true" t="shared" si="111" ref="D899:D900">F899+I899</f>
        <v>3739.3999999999996</v>
      </c>
      <c r="E899" s="86">
        <v>0</v>
      </c>
      <c r="F899" s="86">
        <f t="shared" si="109"/>
        <v>1714.934</v>
      </c>
      <c r="G899" s="86"/>
      <c r="H899" s="86">
        <v>1714.934</v>
      </c>
      <c r="I899" s="86">
        <v>2024.466</v>
      </c>
      <c r="J899" s="97">
        <v>0</v>
      </c>
      <c r="K899" s="136"/>
      <c r="L899" s="86"/>
    </row>
    <row r="900" spans="1:12" s="65" customFormat="1" ht="19.5" customHeight="1">
      <c r="A900" s="86"/>
      <c r="B900" s="86"/>
      <c r="C900" s="82">
        <v>2025</v>
      </c>
      <c r="D900" s="86">
        <f t="shared" si="111"/>
        <v>3739.3999999999996</v>
      </c>
      <c r="E900" s="86">
        <v>0</v>
      </c>
      <c r="F900" s="86">
        <f t="shared" si="109"/>
        <v>1714.934</v>
      </c>
      <c r="G900" s="86"/>
      <c r="H900" s="86">
        <v>1714.934</v>
      </c>
      <c r="I900" s="86">
        <v>2024.466</v>
      </c>
      <c r="J900" s="97">
        <v>0</v>
      </c>
      <c r="K900" s="136"/>
      <c r="L900" s="86"/>
    </row>
    <row r="901" spans="1:12" s="65" customFormat="1" ht="19.5" customHeight="1">
      <c r="A901" s="86" t="s">
        <v>289</v>
      </c>
      <c r="B901" s="98" t="s">
        <v>290</v>
      </c>
      <c r="C901" s="82">
        <v>2017</v>
      </c>
      <c r="D901" s="86">
        <f>H901+I901</f>
        <v>9997.699139999999</v>
      </c>
      <c r="E901" s="86">
        <v>0</v>
      </c>
      <c r="F901" s="86">
        <f aca="true" t="shared" si="112" ref="F901:F904">G901+H901</f>
        <v>1384.168</v>
      </c>
      <c r="G901" s="86"/>
      <c r="H901" s="86">
        <v>1384.168</v>
      </c>
      <c r="I901" s="86">
        <v>8613.53114</v>
      </c>
      <c r="J901" s="180">
        <v>0</v>
      </c>
      <c r="K901" s="177" t="s">
        <v>125</v>
      </c>
      <c r="L901" s="86"/>
    </row>
    <row r="902" spans="1:12" s="65" customFormat="1" ht="19.5" customHeight="1">
      <c r="A902" s="86"/>
      <c r="B902" s="86"/>
      <c r="C902" s="82">
        <v>2018</v>
      </c>
      <c r="D902" s="86">
        <f>E902+H902+I902+J902</f>
        <v>10560.688610000001</v>
      </c>
      <c r="E902" s="86">
        <v>0</v>
      </c>
      <c r="F902" s="86">
        <f t="shared" si="112"/>
        <v>1521.225</v>
      </c>
      <c r="G902" s="86"/>
      <c r="H902" s="86">
        <v>1521.225</v>
      </c>
      <c r="I902" s="86">
        <f>6645.89375+1374.32557</f>
        <v>8020.21932</v>
      </c>
      <c r="J902" s="97">
        <v>1019.24429</v>
      </c>
      <c r="K902" s="177"/>
      <c r="L902" s="86"/>
    </row>
    <row r="903" spans="1:12" s="65" customFormat="1" ht="19.5" customHeight="1">
      <c r="A903" s="86"/>
      <c r="B903" s="86"/>
      <c r="C903" s="82">
        <v>2019</v>
      </c>
      <c r="D903" s="86">
        <f aca="true" t="shared" si="113" ref="D903:D904">F903+I903+J903</f>
        <v>10638.6773</v>
      </c>
      <c r="E903" s="86">
        <v>0</v>
      </c>
      <c r="F903" s="86">
        <f t="shared" si="112"/>
        <v>1514.039</v>
      </c>
      <c r="G903" s="86"/>
      <c r="H903" s="86">
        <v>1514.039</v>
      </c>
      <c r="I903" s="86">
        <f>6000.2454+1623.656+373.01001</f>
        <v>7996.91141</v>
      </c>
      <c r="J903" s="97">
        <f>977.72689+150</f>
        <v>1127.72689</v>
      </c>
      <c r="K903" s="177"/>
      <c r="L903" s="86"/>
    </row>
    <row r="904" spans="1:12" s="65" customFormat="1" ht="19.5" customHeight="1">
      <c r="A904" s="86"/>
      <c r="B904" s="86"/>
      <c r="C904" s="82">
        <v>2020</v>
      </c>
      <c r="D904" s="86">
        <f t="shared" si="113"/>
        <v>10067.785</v>
      </c>
      <c r="E904" s="86">
        <v>0</v>
      </c>
      <c r="F904" s="86">
        <f t="shared" si="112"/>
        <v>1592.151</v>
      </c>
      <c r="G904" s="86"/>
      <c r="H904" s="86">
        <f>1592.151</f>
        <v>1592.151</v>
      </c>
      <c r="I904" s="86">
        <f>6081.82846+1793.032</f>
        <v>7874.86046</v>
      </c>
      <c r="J904" s="97">
        <f>450.77354+150</f>
        <v>600.77354</v>
      </c>
      <c r="K904" s="177"/>
      <c r="L904" s="86"/>
    </row>
    <row r="905" spans="1:12" s="65" customFormat="1" ht="19.5" customHeight="1">
      <c r="A905" s="86"/>
      <c r="B905" s="86"/>
      <c r="C905" s="82">
        <v>2021</v>
      </c>
      <c r="D905" s="86">
        <f aca="true" t="shared" si="114" ref="D905:D907">H905+I905+J905</f>
        <v>10167.67235</v>
      </c>
      <c r="E905" s="86">
        <v>0</v>
      </c>
      <c r="F905" s="86">
        <f>H905+G905</f>
        <v>1907.235</v>
      </c>
      <c r="G905" s="86"/>
      <c r="H905" s="86">
        <v>1907.235</v>
      </c>
      <c r="I905" s="86">
        <f>7260.0234+66.24637-5.83242</f>
        <v>7320.43735</v>
      </c>
      <c r="J905" s="97">
        <v>940</v>
      </c>
      <c r="K905" s="177"/>
      <c r="L905" s="86"/>
    </row>
    <row r="906" spans="1:12" s="65" customFormat="1" ht="19.5" customHeight="1">
      <c r="A906" s="86"/>
      <c r="B906" s="86"/>
      <c r="C906" s="82">
        <v>2022</v>
      </c>
      <c r="D906" s="86">
        <f t="shared" si="114"/>
        <v>10873.52389</v>
      </c>
      <c r="E906" s="86">
        <v>0</v>
      </c>
      <c r="F906" s="86">
        <f>G906+H906</f>
        <v>2070.86</v>
      </c>
      <c r="G906" s="86"/>
      <c r="H906" s="86">
        <v>2070.86</v>
      </c>
      <c r="I906" s="86">
        <v>7862.66389</v>
      </c>
      <c r="J906" s="97">
        <v>940</v>
      </c>
      <c r="K906" s="177"/>
      <c r="L906" s="86"/>
    </row>
    <row r="907" spans="1:12" s="65" customFormat="1" ht="19.5" customHeight="1">
      <c r="A907" s="86"/>
      <c r="B907" s="86"/>
      <c r="C907" s="101">
        <v>2023</v>
      </c>
      <c r="D907" s="102">
        <f t="shared" si="114"/>
        <v>10544.188779999999</v>
      </c>
      <c r="E907" s="102">
        <v>0</v>
      </c>
      <c r="F907" s="102">
        <f aca="true" t="shared" si="115" ref="F907:F908">H907</f>
        <v>2217.45</v>
      </c>
      <c r="G907" s="102"/>
      <c r="H907" s="102">
        <f>2286.578+352.72-421.848</f>
        <v>2217.45</v>
      </c>
      <c r="I907" s="102">
        <f>6418.553+449.275+299.05103+38.01175+421.848</f>
        <v>7626.738779999999</v>
      </c>
      <c r="J907" s="144">
        <v>700</v>
      </c>
      <c r="K907" s="177"/>
      <c r="L907" s="86"/>
    </row>
    <row r="908" spans="1:12" s="65" customFormat="1" ht="19.5" customHeight="1">
      <c r="A908" s="86"/>
      <c r="B908" s="86"/>
      <c r="C908" s="82">
        <v>2024</v>
      </c>
      <c r="D908" s="86">
        <f>F908+I908+J908</f>
        <v>10415.278</v>
      </c>
      <c r="E908" s="86">
        <v>0</v>
      </c>
      <c r="F908" s="86">
        <f t="shared" si="115"/>
        <v>2286.578</v>
      </c>
      <c r="G908" s="86"/>
      <c r="H908" s="86">
        <v>2286.578</v>
      </c>
      <c r="I908" s="86">
        <v>7428.7</v>
      </c>
      <c r="J908" s="97">
        <v>700</v>
      </c>
      <c r="K908" s="177"/>
      <c r="L908" s="86"/>
    </row>
    <row r="909" spans="1:12" s="65" customFormat="1" ht="19.5" customHeight="1">
      <c r="A909" s="86"/>
      <c r="B909" s="86"/>
      <c r="C909" s="82">
        <v>2025</v>
      </c>
      <c r="D909" s="86">
        <f>E909+F909+I909+J909</f>
        <v>10352.323</v>
      </c>
      <c r="E909" s="86">
        <v>0</v>
      </c>
      <c r="F909" s="86">
        <f>G909+H909</f>
        <v>2286.578</v>
      </c>
      <c r="G909" s="86"/>
      <c r="H909" s="86">
        <v>2286.578</v>
      </c>
      <c r="I909" s="86">
        <v>7365.745</v>
      </c>
      <c r="J909" s="97">
        <v>700</v>
      </c>
      <c r="K909" s="177"/>
      <c r="L909" s="86"/>
    </row>
    <row r="910" spans="1:12" s="65" customFormat="1" ht="19.5" customHeight="1">
      <c r="A910" s="86" t="s">
        <v>291</v>
      </c>
      <c r="B910" s="86" t="s">
        <v>292</v>
      </c>
      <c r="C910" s="92">
        <v>2017</v>
      </c>
      <c r="D910" s="95">
        <f aca="true" t="shared" si="116" ref="D910:D911">I910</f>
        <v>11000</v>
      </c>
      <c r="E910" s="95">
        <v>0</v>
      </c>
      <c r="F910" s="95">
        <v>0</v>
      </c>
      <c r="G910" s="95"/>
      <c r="H910" s="95">
        <v>0</v>
      </c>
      <c r="I910" s="95">
        <v>11000</v>
      </c>
      <c r="J910" s="136">
        <v>0</v>
      </c>
      <c r="K910" s="181"/>
      <c r="L910" s="86"/>
    </row>
    <row r="911" spans="1:12" s="65" customFormat="1" ht="19.5" customHeight="1">
      <c r="A911" s="86"/>
      <c r="B911" s="86"/>
      <c r="C911" s="92">
        <v>2018</v>
      </c>
      <c r="D911" s="95">
        <f t="shared" si="116"/>
        <v>0</v>
      </c>
      <c r="E911" s="95">
        <v>0</v>
      </c>
      <c r="F911" s="95">
        <v>0</v>
      </c>
      <c r="G911" s="95"/>
      <c r="H911" s="95">
        <v>0</v>
      </c>
      <c r="I911" s="95">
        <v>0</v>
      </c>
      <c r="J911" s="136">
        <v>0</v>
      </c>
      <c r="K911" s="181"/>
      <c r="L911" s="86"/>
    </row>
    <row r="912" spans="1:12" s="65" customFormat="1" ht="19.5" customHeight="1">
      <c r="A912" s="86"/>
      <c r="B912" s="86"/>
      <c r="C912" s="92">
        <v>2019</v>
      </c>
      <c r="D912" s="95">
        <v>0</v>
      </c>
      <c r="E912" s="95">
        <v>0</v>
      </c>
      <c r="F912" s="95">
        <v>0</v>
      </c>
      <c r="G912" s="95"/>
      <c r="H912" s="95">
        <v>0</v>
      </c>
      <c r="I912" s="95">
        <v>0</v>
      </c>
      <c r="J912" s="136">
        <v>0</v>
      </c>
      <c r="K912" s="181"/>
      <c r="L912" s="86"/>
    </row>
    <row r="913" spans="1:12" s="65" customFormat="1" ht="19.5" customHeight="1">
      <c r="A913" s="86"/>
      <c r="B913" s="86"/>
      <c r="C913" s="182">
        <v>2020</v>
      </c>
      <c r="D913" s="183">
        <v>0</v>
      </c>
      <c r="E913" s="183">
        <v>0</v>
      </c>
      <c r="F913" s="184">
        <v>0</v>
      </c>
      <c r="G913" s="183"/>
      <c r="H913" s="184">
        <v>0</v>
      </c>
      <c r="I913" s="184">
        <v>0</v>
      </c>
      <c r="J913" s="183">
        <v>0</v>
      </c>
      <c r="K913" s="181"/>
      <c r="L913" s="86"/>
    </row>
    <row r="914" spans="1:12" s="65" customFormat="1" ht="19.5" customHeight="1">
      <c r="A914" s="86"/>
      <c r="B914" s="86"/>
      <c r="C914" s="182">
        <v>2021</v>
      </c>
      <c r="D914" s="183">
        <v>0</v>
      </c>
      <c r="E914" s="183">
        <v>0</v>
      </c>
      <c r="F914" s="184">
        <v>0</v>
      </c>
      <c r="G914" s="183"/>
      <c r="H914" s="184">
        <v>0</v>
      </c>
      <c r="I914" s="184">
        <v>0</v>
      </c>
      <c r="J914" s="183">
        <v>0</v>
      </c>
      <c r="K914" s="181"/>
      <c r="L914" s="86"/>
    </row>
    <row r="915" spans="1:12" s="65" customFormat="1" ht="19.5" customHeight="1">
      <c r="A915" s="86"/>
      <c r="B915" s="86"/>
      <c r="C915" s="182">
        <v>2022</v>
      </c>
      <c r="D915" s="183">
        <v>0</v>
      </c>
      <c r="E915" s="183">
        <v>0</v>
      </c>
      <c r="F915" s="184">
        <v>0</v>
      </c>
      <c r="G915" s="183"/>
      <c r="H915" s="184">
        <v>0</v>
      </c>
      <c r="I915" s="184">
        <v>0</v>
      </c>
      <c r="J915" s="183">
        <v>0</v>
      </c>
      <c r="K915" s="181"/>
      <c r="L915" s="86"/>
    </row>
    <row r="916" spans="1:12" s="65" customFormat="1" ht="19.5" customHeight="1">
      <c r="A916" s="86"/>
      <c r="B916" s="86"/>
      <c r="C916" s="182">
        <v>2023</v>
      </c>
      <c r="D916" s="183">
        <v>0</v>
      </c>
      <c r="E916" s="183">
        <v>0</v>
      </c>
      <c r="F916" s="184">
        <v>0</v>
      </c>
      <c r="G916" s="183"/>
      <c r="H916" s="184">
        <v>0</v>
      </c>
      <c r="I916" s="184">
        <v>0</v>
      </c>
      <c r="J916" s="183">
        <v>0</v>
      </c>
      <c r="K916" s="181"/>
      <c r="L916" s="86"/>
    </row>
    <row r="917" spans="1:12" s="65" customFormat="1" ht="19.5" customHeight="1">
      <c r="A917" s="124" t="s">
        <v>113</v>
      </c>
      <c r="B917" s="124"/>
      <c r="C917" s="125">
        <v>2017</v>
      </c>
      <c r="D917" s="124">
        <f>H917+I917</f>
        <v>71267.23366</v>
      </c>
      <c r="E917" s="124">
        <v>0</v>
      </c>
      <c r="F917" s="124">
        <f>H917+G917</f>
        <v>9022.5</v>
      </c>
      <c r="G917" s="124"/>
      <c r="H917" s="124">
        <f>H901+H892+H874+H865+H858+H849</f>
        <v>9022.5</v>
      </c>
      <c r="I917" s="124">
        <f>I901+I892+I883+I874+I865+I858+I849+I910</f>
        <v>62244.73366</v>
      </c>
      <c r="J917" s="185">
        <v>0</v>
      </c>
      <c r="K917" s="177"/>
      <c r="L917" s="86"/>
    </row>
    <row r="918" spans="1:12" s="65" customFormat="1" ht="19.5" customHeight="1">
      <c r="A918" s="124"/>
      <c r="B918" s="124"/>
      <c r="C918" s="125">
        <v>2018</v>
      </c>
      <c r="D918" s="124">
        <f>H918+I918+J918</f>
        <v>64692.00684</v>
      </c>
      <c r="E918" s="124">
        <f>E271+E280+E289+E298+E818+E819+E830+E831+E832+E847+E851+E860+E867+E876+E877+E884+E893+E902+E839</f>
        <v>0</v>
      </c>
      <c r="F918" s="124">
        <f aca="true" t="shared" si="117" ref="F918:F919">G918+H918</f>
        <v>10191.218</v>
      </c>
      <c r="G918" s="124"/>
      <c r="H918" s="124">
        <f aca="true" t="shared" si="118" ref="H918:H920">H850+H859+H866+H875+H893+H902</f>
        <v>10191.218</v>
      </c>
      <c r="I918" s="124">
        <f>I850+I859+I866+I875+I884+I893+I902+I911</f>
        <v>48561.75009</v>
      </c>
      <c r="J918" s="99">
        <f aca="true" t="shared" si="119" ref="J918:J920">J902+J893+J884+J875+J866+J859+J850</f>
        <v>5939.03875</v>
      </c>
      <c r="K918" s="98"/>
      <c r="L918" s="93"/>
    </row>
    <row r="919" spans="1:12" s="65" customFormat="1" ht="19.5" customHeight="1">
      <c r="A919" s="124"/>
      <c r="B919" s="124"/>
      <c r="C919" s="125">
        <v>2019</v>
      </c>
      <c r="D919" s="124">
        <f>E919+H919+I919+J919</f>
        <v>64963.87522</v>
      </c>
      <c r="E919" s="124">
        <f>E269+E278+E287+E296+E820+E840+E848+E852+E861+E868+E885+E894+E903</f>
        <v>0</v>
      </c>
      <c r="F919" s="124">
        <f t="shared" si="117"/>
        <v>10586.964000000002</v>
      </c>
      <c r="G919" s="124"/>
      <c r="H919" s="124">
        <f t="shared" si="118"/>
        <v>10586.964000000002</v>
      </c>
      <c r="I919" s="124">
        <f>I903+I894+I885+I876+I867+I860+I851</f>
        <v>44433.64029</v>
      </c>
      <c r="J919" s="99">
        <f t="shared" si="119"/>
        <v>9943.270929999999</v>
      </c>
      <c r="K919" s="98"/>
      <c r="L919" s="162"/>
    </row>
    <row r="920" spans="1:12" s="65" customFormat="1" ht="19.5" customHeight="1">
      <c r="A920" s="124"/>
      <c r="B920" s="124"/>
      <c r="C920" s="125">
        <v>2020</v>
      </c>
      <c r="D920" s="124">
        <f aca="true" t="shared" si="120" ref="D920:D921">H920+I920+J920</f>
        <v>67372.24571</v>
      </c>
      <c r="E920" s="124">
        <f>E270+E288+E297+E828+E842+E850+E859+E866+E875+E886+E895+E904</f>
        <v>0</v>
      </c>
      <c r="F920" s="124">
        <f>H920+G920</f>
        <v>11163.9</v>
      </c>
      <c r="G920" s="124"/>
      <c r="H920" s="124">
        <f t="shared" si="118"/>
        <v>11163.9</v>
      </c>
      <c r="I920" s="124">
        <f>I852+I861+I868+I877+I886+I895+I904</f>
        <v>50326.69046</v>
      </c>
      <c r="J920" s="99">
        <f t="shared" si="119"/>
        <v>5881.65525</v>
      </c>
      <c r="K920" s="98"/>
      <c r="L920" s="162"/>
    </row>
    <row r="921" spans="1:12" s="65" customFormat="1" ht="19.5" customHeight="1">
      <c r="A921" s="124"/>
      <c r="B921" s="124"/>
      <c r="C921" s="186">
        <v>2021</v>
      </c>
      <c r="D921" s="187">
        <f t="shared" si="120"/>
        <v>51080.29281</v>
      </c>
      <c r="E921" s="187">
        <v>0</v>
      </c>
      <c r="F921" s="187">
        <f aca="true" t="shared" si="121" ref="F921:F925">H921</f>
        <v>12479.6</v>
      </c>
      <c r="G921" s="187"/>
      <c r="H921" s="187">
        <f>H915+H905+H896+H887+H878+H869+H862+H853</f>
        <v>12479.6</v>
      </c>
      <c r="I921" s="187">
        <f>I915+I905+I896+I887+I878+I862+I853+I869</f>
        <v>31270.69281</v>
      </c>
      <c r="J921" s="187">
        <f>J915+J905+J896+J887+J878+J869+J862+J853</f>
        <v>7330</v>
      </c>
      <c r="K921" s="187"/>
      <c r="L921" s="162"/>
    </row>
    <row r="922" spans="1:12" s="65" customFormat="1" ht="19.5" customHeight="1">
      <c r="A922" s="124"/>
      <c r="B922" s="124"/>
      <c r="C922" s="186">
        <v>2022</v>
      </c>
      <c r="D922" s="187">
        <f aca="true" t="shared" si="122" ref="D922:D925">E922+F922+I922+J922</f>
        <v>55001.26055</v>
      </c>
      <c r="E922" s="187">
        <v>0</v>
      </c>
      <c r="F922" s="187">
        <f t="shared" si="121"/>
        <v>13754.1</v>
      </c>
      <c r="G922" s="187"/>
      <c r="H922" s="187">
        <f aca="true" t="shared" si="123" ref="H922:H923">H906+H897+H888+H879+H870+H863+H854</f>
        <v>13754.1</v>
      </c>
      <c r="I922" s="187">
        <f aca="true" t="shared" si="124" ref="I922:I923">I906+I897+I888+I879+I870+I863+I854</f>
        <v>33967.16055</v>
      </c>
      <c r="J922" s="187">
        <f aca="true" t="shared" si="125" ref="J922:J923">J906+J897+J888+J879+J870+J863+J854</f>
        <v>7280</v>
      </c>
      <c r="K922" s="187"/>
      <c r="L922" s="162"/>
    </row>
    <row r="923" spans="1:12" s="65" customFormat="1" ht="19.5" customHeight="1">
      <c r="A923" s="124"/>
      <c r="B923" s="124"/>
      <c r="C923" s="188">
        <v>2023</v>
      </c>
      <c r="D923" s="189">
        <f t="shared" si="122"/>
        <v>55512.099879999994</v>
      </c>
      <c r="E923" s="189">
        <v>0</v>
      </c>
      <c r="F923" s="189">
        <f t="shared" si="121"/>
        <v>16119.130000000001</v>
      </c>
      <c r="G923" s="189"/>
      <c r="H923" s="189">
        <f t="shared" si="123"/>
        <v>16119.130000000001</v>
      </c>
      <c r="I923" s="189">
        <f t="shared" si="124"/>
        <v>33482.20488</v>
      </c>
      <c r="J923" s="189">
        <f t="shared" si="125"/>
        <v>5910.765</v>
      </c>
      <c r="K923" s="187"/>
      <c r="L923" s="162"/>
    </row>
    <row r="924" spans="1:12" s="65" customFormat="1" ht="19.5" customHeight="1">
      <c r="A924" s="124"/>
      <c r="B924" s="124"/>
      <c r="C924" s="186">
        <v>2024</v>
      </c>
      <c r="D924" s="187">
        <f t="shared" si="122"/>
        <v>49810.328</v>
      </c>
      <c r="E924" s="187">
        <v>0</v>
      </c>
      <c r="F924" s="187">
        <f t="shared" si="121"/>
        <v>13427.699999999999</v>
      </c>
      <c r="G924" s="187"/>
      <c r="H924" s="187">
        <f aca="true" t="shared" si="126" ref="H924:H925">H908+H899+H890+H881+H872+H856</f>
        <v>13427.699999999999</v>
      </c>
      <c r="I924" s="187">
        <f aca="true" t="shared" si="127" ref="I924:I925">I908+I899+I890+I881+I872+I856</f>
        <v>32132.628000000004</v>
      </c>
      <c r="J924" s="187">
        <f aca="true" t="shared" si="128" ref="J924:J925">J908+J899+J890+J881+J872+J856</f>
        <v>4250</v>
      </c>
      <c r="K924" s="187"/>
      <c r="L924" s="162"/>
    </row>
    <row r="925" spans="1:12" s="65" customFormat="1" ht="19.5" customHeight="1">
      <c r="A925" s="124"/>
      <c r="B925" s="124"/>
      <c r="C925" s="186">
        <v>2025</v>
      </c>
      <c r="D925" s="187">
        <f t="shared" si="122"/>
        <v>49840.138</v>
      </c>
      <c r="E925" s="187">
        <v>0</v>
      </c>
      <c r="F925" s="187">
        <f t="shared" si="121"/>
        <v>13427.699999999999</v>
      </c>
      <c r="G925" s="187"/>
      <c r="H925" s="187">
        <f t="shared" si="126"/>
        <v>13427.699999999999</v>
      </c>
      <c r="I925" s="187">
        <f t="shared" si="127"/>
        <v>32162.438000000002</v>
      </c>
      <c r="J925" s="187">
        <f t="shared" si="128"/>
        <v>4250</v>
      </c>
      <c r="K925" s="187"/>
      <c r="L925" s="162"/>
    </row>
    <row r="926" spans="1:12" s="65" customFormat="1" ht="19.5" customHeight="1">
      <c r="A926" s="187" t="s">
        <v>293</v>
      </c>
      <c r="B926" s="187"/>
      <c r="C926" s="187"/>
      <c r="D926" s="187"/>
      <c r="E926" s="187"/>
      <c r="F926" s="187"/>
      <c r="G926" s="187"/>
      <c r="H926" s="187"/>
      <c r="I926" s="187"/>
      <c r="J926" s="187"/>
      <c r="K926" s="190"/>
      <c r="L926" s="187"/>
    </row>
    <row r="927" spans="1:12" s="65" customFormat="1" ht="19.5" customHeight="1">
      <c r="A927" s="97" t="s">
        <v>50</v>
      </c>
      <c r="B927" s="190" t="s">
        <v>294</v>
      </c>
      <c r="C927" s="191"/>
      <c r="D927" s="191"/>
      <c r="E927" s="191"/>
      <c r="F927" s="191"/>
      <c r="G927" s="191"/>
      <c r="H927" s="191"/>
      <c r="I927" s="191"/>
      <c r="J927" s="191"/>
      <c r="K927" s="191"/>
      <c r="L927" s="190"/>
    </row>
    <row r="928" spans="1:12" s="65" customFormat="1" ht="19.5" customHeight="1">
      <c r="A928" s="97"/>
      <c r="B928" s="192"/>
      <c r="C928" s="192"/>
      <c r="D928" s="192"/>
      <c r="E928" s="192"/>
      <c r="F928" s="192"/>
      <c r="G928" s="192"/>
      <c r="H928" s="192"/>
      <c r="I928" s="192"/>
      <c r="J928" s="192"/>
      <c r="K928" s="192"/>
      <c r="L928" s="192"/>
    </row>
    <row r="929" spans="1:12" s="65" customFormat="1" ht="19.5" customHeight="1">
      <c r="A929" s="180" t="s">
        <v>295</v>
      </c>
      <c r="B929" s="180" t="s">
        <v>296</v>
      </c>
      <c r="C929" s="94">
        <v>2017</v>
      </c>
      <c r="D929" s="95">
        <f>H929</f>
        <v>16.3</v>
      </c>
      <c r="E929" s="95">
        <v>0</v>
      </c>
      <c r="F929" s="95"/>
      <c r="G929" s="95"/>
      <c r="H929" s="95">
        <v>16.3</v>
      </c>
      <c r="I929" s="192">
        <v>0</v>
      </c>
      <c r="J929" s="192">
        <v>0</v>
      </c>
      <c r="K929" s="191"/>
      <c r="L929" s="193" t="s">
        <v>296</v>
      </c>
    </row>
    <row r="930" spans="1:12" s="65" customFormat="1" ht="19.5" customHeight="1">
      <c r="A930" s="180"/>
      <c r="B930" s="180"/>
      <c r="C930" s="82">
        <v>2018</v>
      </c>
      <c r="D930" s="86">
        <f>SUM(E930:I930)</f>
        <v>16.2</v>
      </c>
      <c r="E930" s="124">
        <v>0</v>
      </c>
      <c r="F930" s="124"/>
      <c r="G930" s="124"/>
      <c r="H930" s="86">
        <v>16.2</v>
      </c>
      <c r="I930" s="86">
        <v>0</v>
      </c>
      <c r="J930" s="86">
        <v>0</v>
      </c>
      <c r="K930" s="194"/>
      <c r="L930" s="193"/>
    </row>
    <row r="931" spans="1:12" s="65" customFormat="1" ht="19.5" customHeight="1">
      <c r="A931" s="180"/>
      <c r="B931" s="180"/>
      <c r="C931" s="82">
        <v>2019</v>
      </c>
      <c r="D931" s="86">
        <f aca="true" t="shared" si="129" ref="D931:D932">F931</f>
        <v>16</v>
      </c>
      <c r="E931" s="124">
        <v>0</v>
      </c>
      <c r="F931" s="124">
        <f aca="true" t="shared" si="130" ref="F931:F932">H931</f>
        <v>16</v>
      </c>
      <c r="G931" s="124"/>
      <c r="H931" s="86">
        <v>16</v>
      </c>
      <c r="I931" s="86">
        <v>0</v>
      </c>
      <c r="J931" s="86">
        <v>0</v>
      </c>
      <c r="K931" s="194"/>
      <c r="L931" s="193"/>
    </row>
    <row r="932" spans="1:12" s="65" customFormat="1" ht="19.5" customHeight="1">
      <c r="A932" s="180"/>
      <c r="B932" s="180"/>
      <c r="C932" s="82">
        <v>2020</v>
      </c>
      <c r="D932" s="86">
        <f t="shared" si="129"/>
        <v>16.6</v>
      </c>
      <c r="E932" s="124">
        <f>F932</f>
        <v>16.6</v>
      </c>
      <c r="F932" s="124">
        <f t="shared" si="130"/>
        <v>16.6</v>
      </c>
      <c r="G932" s="124"/>
      <c r="H932" s="86">
        <v>16.6</v>
      </c>
      <c r="I932" s="86">
        <v>0</v>
      </c>
      <c r="J932" s="86">
        <v>0</v>
      </c>
      <c r="K932" s="194"/>
      <c r="L932" s="193"/>
    </row>
    <row r="933" spans="1:12" s="65" customFormat="1" ht="19.5" customHeight="1">
      <c r="A933" s="180"/>
      <c r="B933" s="180"/>
      <c r="C933" s="82">
        <v>2021</v>
      </c>
      <c r="D933" s="86">
        <f>H933</f>
        <v>0</v>
      </c>
      <c r="E933" s="124">
        <v>33.2</v>
      </c>
      <c r="F933" s="124"/>
      <c r="G933" s="124"/>
      <c r="H933" s="86"/>
      <c r="I933" s="86"/>
      <c r="J933" s="86"/>
      <c r="K933" s="194"/>
      <c r="L933" s="193"/>
    </row>
    <row r="934" spans="1:12" s="65" customFormat="1" ht="19.5" customHeight="1">
      <c r="A934" s="180"/>
      <c r="B934" s="180"/>
      <c r="C934" s="82">
        <v>2022</v>
      </c>
      <c r="D934" s="86">
        <f aca="true" t="shared" si="131" ref="D934:D937">E934</f>
        <v>39.6</v>
      </c>
      <c r="E934" s="124">
        <v>39.6</v>
      </c>
      <c r="F934" s="124"/>
      <c r="G934" s="124"/>
      <c r="H934" s="86"/>
      <c r="I934" s="86"/>
      <c r="J934" s="86"/>
      <c r="K934" s="194"/>
      <c r="L934" s="193"/>
    </row>
    <row r="935" spans="1:12" s="65" customFormat="1" ht="19.5" customHeight="1">
      <c r="A935" s="180"/>
      <c r="B935" s="180"/>
      <c r="C935" s="101">
        <v>2023</v>
      </c>
      <c r="D935" s="102">
        <f t="shared" si="131"/>
        <v>39.2</v>
      </c>
      <c r="E935" s="127">
        <v>39.2</v>
      </c>
      <c r="F935" s="127"/>
      <c r="G935" s="127"/>
      <c r="H935" s="102"/>
      <c r="I935" s="102"/>
      <c r="J935" s="86"/>
      <c r="K935" s="194"/>
      <c r="L935" s="193"/>
    </row>
    <row r="936" spans="1:12" s="65" customFormat="1" ht="19.5" customHeight="1">
      <c r="A936" s="180"/>
      <c r="B936" s="180"/>
      <c r="C936" s="82">
        <v>2024</v>
      </c>
      <c r="D936" s="86">
        <f t="shared" si="131"/>
        <v>39.2</v>
      </c>
      <c r="E936" s="124">
        <v>39.2</v>
      </c>
      <c r="F936" s="124"/>
      <c r="G936" s="124"/>
      <c r="H936" s="86"/>
      <c r="I936" s="86"/>
      <c r="J936" s="86"/>
      <c r="K936" s="194"/>
      <c r="L936" s="193"/>
    </row>
    <row r="937" spans="1:12" s="65" customFormat="1" ht="19.5" customHeight="1">
      <c r="A937" s="180"/>
      <c r="B937" s="180"/>
      <c r="C937" s="82">
        <v>2025</v>
      </c>
      <c r="D937" s="86">
        <f t="shared" si="131"/>
        <v>39.2</v>
      </c>
      <c r="E937" s="124">
        <v>39.2</v>
      </c>
      <c r="F937" s="124"/>
      <c r="G937" s="124"/>
      <c r="H937" s="86"/>
      <c r="I937" s="86"/>
      <c r="J937" s="86"/>
      <c r="K937" s="194"/>
      <c r="L937" s="193"/>
    </row>
    <row r="938" spans="1:12" s="65" customFormat="1" ht="19.5" customHeight="1">
      <c r="A938" s="124" t="s">
        <v>113</v>
      </c>
      <c r="B938" s="124"/>
      <c r="C938" s="125">
        <v>2017</v>
      </c>
      <c r="D938" s="124">
        <f>H938</f>
        <v>16.3</v>
      </c>
      <c r="E938" s="124">
        <v>0</v>
      </c>
      <c r="F938" s="124">
        <f aca="true" t="shared" si="132" ref="F938:F940">H938</f>
        <v>16.3</v>
      </c>
      <c r="G938" s="124"/>
      <c r="H938" s="124">
        <f aca="true" t="shared" si="133" ref="H938:H939">H929</f>
        <v>16.3</v>
      </c>
      <c r="I938" s="86">
        <v>0</v>
      </c>
      <c r="J938" s="86">
        <v>0</v>
      </c>
      <c r="K938" s="194"/>
      <c r="L938" s="193"/>
    </row>
    <row r="939" spans="1:12" s="65" customFormat="1" ht="19.5" customHeight="1">
      <c r="A939" s="124"/>
      <c r="B939" s="124"/>
      <c r="C939" s="125">
        <v>2018</v>
      </c>
      <c r="D939" s="124">
        <f aca="true" t="shared" si="134" ref="D939:D940">E939+H939+I939</f>
        <v>16.2</v>
      </c>
      <c r="E939" s="124">
        <f>E288+E297+E820+E827+E831+E832+E839+E850+E851+E852+E867+E876+E885+E894+E903+E904+E918+E921+E930+E859</f>
        <v>0</v>
      </c>
      <c r="F939" s="124">
        <f t="shared" si="132"/>
        <v>16.2</v>
      </c>
      <c r="G939" s="124"/>
      <c r="H939" s="124">
        <f t="shared" si="133"/>
        <v>16.2</v>
      </c>
      <c r="I939" s="124">
        <v>0</v>
      </c>
      <c r="J939" s="86">
        <v>0</v>
      </c>
      <c r="K939" s="98"/>
      <c r="L939" s="193"/>
    </row>
    <row r="940" spans="1:12" s="65" customFormat="1" ht="19.5" customHeight="1">
      <c r="A940" s="124"/>
      <c r="B940" s="124"/>
      <c r="C940" s="125">
        <v>2019</v>
      </c>
      <c r="D940" s="124">
        <f t="shared" si="134"/>
        <v>16</v>
      </c>
      <c r="E940" s="124">
        <f>E289+E298+E821+E828+E840+E860+E868+E877+E886+E895+E919+E926+E931</f>
        <v>0</v>
      </c>
      <c r="F940" s="124">
        <f t="shared" si="132"/>
        <v>16</v>
      </c>
      <c r="G940" s="124"/>
      <c r="H940" s="124">
        <f>16</f>
        <v>16</v>
      </c>
      <c r="I940" s="124">
        <f aca="true" t="shared" si="135" ref="I940:I941">I931</f>
        <v>0</v>
      </c>
      <c r="J940" s="86">
        <v>0</v>
      </c>
      <c r="K940" s="98"/>
      <c r="L940" s="193"/>
    </row>
    <row r="941" spans="1:12" s="65" customFormat="1" ht="19.5" customHeight="1">
      <c r="A941" s="124"/>
      <c r="B941" s="124"/>
      <c r="C941" s="125">
        <v>2020</v>
      </c>
      <c r="D941" s="124">
        <f aca="true" t="shared" si="136" ref="D941:D945">E941</f>
        <v>16.6</v>
      </c>
      <c r="E941" s="124">
        <f>E296+E818+E826+E830+E848+E866+E875+E884+E893+E902+E920+E927+E932</f>
        <v>16.6</v>
      </c>
      <c r="F941" s="124">
        <v>0</v>
      </c>
      <c r="G941" s="124"/>
      <c r="H941" s="124">
        <v>0</v>
      </c>
      <c r="I941" s="124">
        <f t="shared" si="135"/>
        <v>0</v>
      </c>
      <c r="J941" s="86">
        <v>0</v>
      </c>
      <c r="K941" s="98"/>
      <c r="L941" s="193"/>
    </row>
    <row r="942" spans="1:12" s="65" customFormat="1" ht="19.5" customHeight="1">
      <c r="A942" s="124"/>
      <c r="B942" s="124"/>
      <c r="C942" s="125">
        <v>2021</v>
      </c>
      <c r="D942" s="124">
        <f t="shared" si="136"/>
        <v>33.2</v>
      </c>
      <c r="E942" s="124">
        <f aca="true" t="shared" si="137" ref="E942:E946">E933</f>
        <v>33.2</v>
      </c>
      <c r="F942" s="124">
        <v>0</v>
      </c>
      <c r="G942" s="124"/>
      <c r="H942" s="124">
        <v>0</v>
      </c>
      <c r="I942" s="124">
        <v>0</v>
      </c>
      <c r="J942" s="86">
        <v>0</v>
      </c>
      <c r="K942" s="98"/>
      <c r="L942" s="193"/>
    </row>
    <row r="943" spans="1:12" s="65" customFormat="1" ht="19.5" customHeight="1">
      <c r="A943" s="124"/>
      <c r="B943" s="124"/>
      <c r="C943" s="125">
        <v>2022</v>
      </c>
      <c r="D943" s="124">
        <f t="shared" si="136"/>
        <v>39.6</v>
      </c>
      <c r="E943" s="124">
        <f t="shared" si="137"/>
        <v>39.6</v>
      </c>
      <c r="F943" s="124">
        <v>0</v>
      </c>
      <c r="G943" s="124"/>
      <c r="H943" s="124">
        <v>0</v>
      </c>
      <c r="I943" s="124">
        <v>0</v>
      </c>
      <c r="J943" s="86">
        <v>0</v>
      </c>
      <c r="K943" s="98"/>
      <c r="L943" s="193"/>
    </row>
    <row r="944" spans="1:12" s="65" customFormat="1" ht="19.5" customHeight="1">
      <c r="A944" s="124"/>
      <c r="B944" s="124"/>
      <c r="C944" s="126">
        <v>2023</v>
      </c>
      <c r="D944" s="127">
        <f t="shared" si="136"/>
        <v>39.2</v>
      </c>
      <c r="E944" s="127">
        <f t="shared" si="137"/>
        <v>39.2</v>
      </c>
      <c r="F944" s="127">
        <v>0</v>
      </c>
      <c r="G944" s="127"/>
      <c r="H944" s="127">
        <v>0</v>
      </c>
      <c r="I944" s="127">
        <v>0</v>
      </c>
      <c r="J944" s="86">
        <v>0</v>
      </c>
      <c r="K944" s="98"/>
      <c r="L944" s="195"/>
    </row>
    <row r="945" spans="1:12" s="65" customFormat="1" ht="19.5" customHeight="1">
      <c r="A945" s="124"/>
      <c r="B945" s="124"/>
      <c r="C945" s="125">
        <v>2024</v>
      </c>
      <c r="D945" s="124">
        <f t="shared" si="136"/>
        <v>39.2</v>
      </c>
      <c r="E945" s="124">
        <f t="shared" si="137"/>
        <v>39.2</v>
      </c>
      <c r="F945" s="124">
        <v>0</v>
      </c>
      <c r="G945" s="124"/>
      <c r="H945" s="124">
        <v>0</v>
      </c>
      <c r="I945" s="124">
        <v>0</v>
      </c>
      <c r="J945" s="86">
        <v>0</v>
      </c>
      <c r="K945" s="98"/>
      <c r="L945" s="195"/>
    </row>
    <row r="946" spans="1:12" s="65" customFormat="1" ht="19.5" customHeight="1">
      <c r="A946" s="124"/>
      <c r="B946" s="124"/>
      <c r="C946" s="125">
        <v>2025</v>
      </c>
      <c r="D946" s="124">
        <f>E946+F946+I946+J946</f>
        <v>39.2</v>
      </c>
      <c r="E946" s="124">
        <f t="shared" si="137"/>
        <v>39.2</v>
      </c>
      <c r="F946" s="124">
        <f>G946+H946</f>
        <v>0</v>
      </c>
      <c r="G946" s="124">
        <f>G937</f>
        <v>0</v>
      </c>
      <c r="H946" s="124">
        <f>H937</f>
        <v>0</v>
      </c>
      <c r="I946" s="124">
        <f>I937</f>
        <v>0</v>
      </c>
      <c r="J946" s="86">
        <f>J937</f>
        <v>0</v>
      </c>
      <c r="K946" s="98"/>
      <c r="L946" s="195"/>
    </row>
    <row r="947" spans="1:12" s="65" customFormat="1" ht="19.5" customHeight="1">
      <c r="A947" s="124" t="s">
        <v>297</v>
      </c>
      <c r="B947" s="124"/>
      <c r="C947" s="125">
        <v>2017</v>
      </c>
      <c r="D947" s="124">
        <f>I947+H947</f>
        <v>83485.04676000001</v>
      </c>
      <c r="E947" s="124">
        <v>0</v>
      </c>
      <c r="F947" s="124">
        <f>H947+G947</f>
        <v>9038.8</v>
      </c>
      <c r="G947" s="124"/>
      <c r="H947" s="124">
        <f>H917+H938</f>
        <v>9038.8</v>
      </c>
      <c r="I947" s="124">
        <f>I938+I917+I838+I199+I817</f>
        <v>74446.24676000001</v>
      </c>
      <c r="J947" s="86">
        <v>0</v>
      </c>
      <c r="K947" s="98"/>
      <c r="L947" s="162"/>
    </row>
    <row r="948" spans="1:12" s="65" customFormat="1" ht="19.5" customHeight="1">
      <c r="A948" s="124"/>
      <c r="B948" s="124"/>
      <c r="C948" s="125">
        <v>2018</v>
      </c>
      <c r="D948" s="124">
        <f>E948+H948+I948+J948</f>
        <v>81020.64127</v>
      </c>
      <c r="E948" s="124">
        <f>SUM(E17+E26+E36+E45+E56+E71+E86+E95+E104+E113+E121+E137+E260+E269+E278+E296+E830+E850+E859+E866+E875+E884+E893+E902+E930)</f>
        <v>0</v>
      </c>
      <c r="F948" s="124">
        <f aca="true" t="shared" si="138" ref="F948:F949">G948+H948</f>
        <v>10207.418000000001</v>
      </c>
      <c r="G948" s="124"/>
      <c r="H948" s="124">
        <f>SUM(H17+H26+H36+H45+H56+H71+H86+H95+H104+H113+H121+H137+H260+H269+H278+H296+H830+H850+H859+H866+H875+H884+H893+H902+H930)</f>
        <v>10207.418000000001</v>
      </c>
      <c r="I948" s="124">
        <f aca="true" t="shared" si="139" ref="I948:I950">I918+I839+I818+I200</f>
        <v>64874.184519999995</v>
      </c>
      <c r="J948" s="124">
        <f aca="true" t="shared" si="140" ref="J948:J950">J918</f>
        <v>5939.03875</v>
      </c>
      <c r="K948" s="194"/>
      <c r="L948" s="162"/>
    </row>
    <row r="949" spans="1:12" s="65" customFormat="1" ht="19.5" customHeight="1">
      <c r="A949" s="124"/>
      <c r="B949" s="124"/>
      <c r="C949" s="125">
        <v>2019</v>
      </c>
      <c r="D949" s="124">
        <f>H949+I949+J949</f>
        <v>89416.72404000002</v>
      </c>
      <c r="E949" s="124">
        <f>SUM(E18+E27+E37+E46+E57+E74+E87+E96+E105+E114+E124+E138+E262+E270+E279+E297+E831+E851+E860+E867+E876+E885+E894+E903+E931)</f>
        <v>0</v>
      </c>
      <c r="F949" s="124">
        <f t="shared" si="138"/>
        <v>10602.964000000002</v>
      </c>
      <c r="G949" s="124"/>
      <c r="H949" s="124">
        <f>H919+H940+H819</f>
        <v>10602.964000000002</v>
      </c>
      <c r="I949" s="124">
        <f t="shared" si="139"/>
        <v>68870.48911000001</v>
      </c>
      <c r="J949" s="124">
        <f t="shared" si="140"/>
        <v>9943.270929999999</v>
      </c>
      <c r="K949" s="194"/>
      <c r="L949" s="93"/>
    </row>
    <row r="950" spans="1:12" s="65" customFormat="1" ht="19.5" customHeight="1">
      <c r="A950" s="124"/>
      <c r="B950" s="124"/>
      <c r="C950" s="125">
        <v>2020</v>
      </c>
      <c r="D950" s="124">
        <f>E950+H950+I950+J950</f>
        <v>86650.26683</v>
      </c>
      <c r="E950" s="124">
        <f>SUM(E19+E28+E38+E47+E59+E77+E88+E97+E106+E115+E126+E149+E271+E280+E298+E832+E852+E861+E868+E877+E886+E895+E904+E932)</f>
        <v>16.6</v>
      </c>
      <c r="F950" s="124">
        <f aca="true" t="shared" si="141" ref="F950:F952">H950+G950</f>
        <v>11163.9</v>
      </c>
      <c r="G950" s="124"/>
      <c r="H950" s="124">
        <f>H920+H941</f>
        <v>11163.9</v>
      </c>
      <c r="I950" s="124">
        <f t="shared" si="139"/>
        <v>69588.11158</v>
      </c>
      <c r="J950" s="124">
        <f t="shared" si="140"/>
        <v>5881.65525</v>
      </c>
      <c r="K950" s="194"/>
      <c r="L950" s="93"/>
    </row>
    <row r="951" spans="1:12" s="65" customFormat="1" ht="19.5" customHeight="1">
      <c r="A951" s="124"/>
      <c r="B951" s="124"/>
      <c r="C951" s="125">
        <v>2021</v>
      </c>
      <c r="D951" s="124">
        <f aca="true" t="shared" si="142" ref="D951:D955">E951+F951+I951+J951</f>
        <v>67623.12641</v>
      </c>
      <c r="E951" s="124">
        <f aca="true" t="shared" si="143" ref="E951:E954">E942</f>
        <v>33.2</v>
      </c>
      <c r="F951" s="124">
        <f t="shared" si="141"/>
        <v>12541.4</v>
      </c>
      <c r="G951" s="124">
        <f aca="true" t="shared" si="144" ref="G951:G952">G203</f>
        <v>61.8</v>
      </c>
      <c r="H951" s="124">
        <f>H942+H921+H184</f>
        <v>12479.6</v>
      </c>
      <c r="I951" s="124">
        <f>I942+I921+I842+I821+I203</f>
        <v>47718.52641</v>
      </c>
      <c r="J951" s="124">
        <f>J942+J921</f>
        <v>7330</v>
      </c>
      <c r="K951" s="194"/>
      <c r="L951" s="93"/>
    </row>
    <row r="952" spans="1:12" s="65" customFormat="1" ht="19.5" customHeight="1">
      <c r="A952" s="124"/>
      <c r="B952" s="124"/>
      <c r="C952" s="125">
        <v>2022</v>
      </c>
      <c r="D952" s="124">
        <f t="shared" si="142"/>
        <v>76088.28024000001</v>
      </c>
      <c r="E952" s="124">
        <f t="shared" si="143"/>
        <v>39.6</v>
      </c>
      <c r="F952" s="124">
        <f t="shared" si="141"/>
        <v>13882.1</v>
      </c>
      <c r="G952" s="124">
        <f t="shared" si="144"/>
        <v>55</v>
      </c>
      <c r="H952" s="124">
        <f>H922+H204</f>
        <v>13827.1</v>
      </c>
      <c r="I952" s="124">
        <f aca="true" t="shared" si="145" ref="I952:I954">I922+I843+I822+I204</f>
        <v>54886.58024</v>
      </c>
      <c r="J952" s="124">
        <f>J922</f>
        <v>7280</v>
      </c>
      <c r="K952" s="194"/>
      <c r="L952" s="93"/>
    </row>
    <row r="953" spans="1:12" s="65" customFormat="1" ht="19.5" customHeight="1">
      <c r="A953" s="124"/>
      <c r="B953" s="124"/>
      <c r="C953" s="126">
        <v>2023</v>
      </c>
      <c r="D953" s="127">
        <f t="shared" si="142"/>
        <v>83163.65984</v>
      </c>
      <c r="E953" s="127">
        <f t="shared" si="143"/>
        <v>39.2</v>
      </c>
      <c r="F953" s="127">
        <f>G953+H953</f>
        <v>21233.13</v>
      </c>
      <c r="G953" s="127">
        <f>G823+G205</f>
        <v>4668.928</v>
      </c>
      <c r="H953" s="127">
        <f>H923+H823+H205</f>
        <v>16564.202</v>
      </c>
      <c r="I953" s="127">
        <f t="shared" si="145"/>
        <v>55980.56483999999</v>
      </c>
      <c r="J953" s="127">
        <f>J855+J864+J871+J880+J889+J898+J907</f>
        <v>5910.765</v>
      </c>
      <c r="K953" s="194"/>
      <c r="L953" s="93"/>
    </row>
    <row r="954" spans="1:12" s="65" customFormat="1" ht="19.5" customHeight="1">
      <c r="A954" s="124"/>
      <c r="B954" s="124"/>
      <c r="C954" s="125">
        <v>2024</v>
      </c>
      <c r="D954" s="124">
        <f t="shared" si="142"/>
        <v>63008.70700000001</v>
      </c>
      <c r="E954" s="124">
        <f t="shared" si="143"/>
        <v>39.2</v>
      </c>
      <c r="F954" s="124">
        <f>H954+G954</f>
        <v>13508.3</v>
      </c>
      <c r="G954" s="124">
        <f>G206</f>
        <v>0</v>
      </c>
      <c r="H954" s="124">
        <f>H924+H206</f>
        <v>13508.3</v>
      </c>
      <c r="I954" s="124">
        <f t="shared" si="145"/>
        <v>45211.20700000001</v>
      </c>
      <c r="J954" s="124">
        <f aca="true" t="shared" si="146" ref="J954:J955">J924</f>
        <v>4250</v>
      </c>
      <c r="K954" s="194"/>
      <c r="L954" s="93"/>
    </row>
    <row r="955" spans="1:12" s="65" customFormat="1" ht="19.5" customHeight="1">
      <c r="A955" s="124"/>
      <c r="B955" s="124"/>
      <c r="C955" s="125">
        <v>2025</v>
      </c>
      <c r="D955" s="124">
        <f t="shared" si="142"/>
        <v>63038.51700000001</v>
      </c>
      <c r="E955" s="124">
        <f>E946+E925+E846+E207</f>
        <v>39.2</v>
      </c>
      <c r="F955" s="124">
        <f>G955+H955</f>
        <v>13508.3</v>
      </c>
      <c r="G955" s="124">
        <f>G207+G946+G925+G846</f>
        <v>0</v>
      </c>
      <c r="H955" s="124">
        <f>H925+H207+H946+H846+H825</f>
        <v>13508.3</v>
      </c>
      <c r="I955" s="124">
        <f>I925+I846+I825+I207+I946</f>
        <v>45241.01700000001</v>
      </c>
      <c r="J955" s="124">
        <f t="shared" si="146"/>
        <v>4250</v>
      </c>
      <c r="K955" s="194"/>
      <c r="L955" s="93"/>
    </row>
    <row r="956" spans="1:12" s="65" customFormat="1" ht="19.5" customHeight="1">
      <c r="A956" s="124"/>
      <c r="B956" s="124"/>
      <c r="C956" s="125" t="s">
        <v>298</v>
      </c>
      <c r="D956" s="124">
        <f>SUM(D947:D955)</f>
        <v>693494.9693900001</v>
      </c>
      <c r="E956" s="124">
        <f>SUM(E947:E955)</f>
        <v>207.00000000000003</v>
      </c>
      <c r="F956" s="124">
        <f>SUM(F947:F955)</f>
        <v>115686.31200000002</v>
      </c>
      <c r="G956" s="124">
        <f>SUM(G947:G955)</f>
        <v>4785.728</v>
      </c>
      <c r="H956" s="124">
        <f>SUM(H947:H955)</f>
        <v>110900.58400000002</v>
      </c>
      <c r="I956" s="124">
        <f>SUM(I947:I955)</f>
        <v>526816.9274599999</v>
      </c>
      <c r="J956" s="124">
        <f>SUM(J947:J955)</f>
        <v>50784.72993</v>
      </c>
      <c r="K956" s="194"/>
      <c r="L956" s="93"/>
    </row>
    <row r="957" spans="1:8" s="65" customFormat="1" ht="19.5" customHeight="1">
      <c r="A957" s="196"/>
      <c r="B957" s="196"/>
      <c r="C957" s="197"/>
      <c r="D957" s="198"/>
      <c r="G957" s="65" t="s">
        <v>71</v>
      </c>
      <c r="H957" s="199"/>
    </row>
    <row r="958" spans="4:8" s="65" customFormat="1" ht="19.5" customHeight="1">
      <c r="D958" s="200"/>
      <c r="E958" s="200"/>
      <c r="F958" s="200"/>
      <c r="H958" s="199"/>
    </row>
    <row r="959" spans="4:8" s="65" customFormat="1" ht="19.5" customHeight="1">
      <c r="D959" s="200"/>
      <c r="H959" s="199"/>
    </row>
    <row r="960" spans="4:8" s="65" customFormat="1" ht="19.5" customHeight="1">
      <c r="D960" s="200"/>
      <c r="H960" s="199"/>
    </row>
    <row r="961" spans="4:8" s="65" customFormat="1" ht="19.5" customHeight="1">
      <c r="D961" s="200"/>
      <c r="H961" s="199"/>
    </row>
    <row r="962" spans="4:8" s="65" customFormat="1" ht="19.5" customHeight="1">
      <c r="D962" s="198"/>
      <c r="H962" s="199"/>
    </row>
    <row r="963" spans="4:8" s="65" customFormat="1" ht="14.25">
      <c r="D963" s="198"/>
      <c r="H963" s="199"/>
    </row>
    <row r="964" spans="4:8" s="65" customFormat="1" ht="14.25">
      <c r="D964" s="198"/>
      <c r="H964" s="199"/>
    </row>
    <row r="965" spans="4:8" s="65" customFormat="1" ht="14.25">
      <c r="D965" s="198"/>
      <c r="H965" s="199"/>
    </row>
    <row r="966" spans="4:8" s="65" customFormat="1" ht="14.25">
      <c r="D966" s="198"/>
      <c r="H966" s="199"/>
    </row>
    <row r="967" spans="4:8" s="65" customFormat="1" ht="14.25">
      <c r="D967" s="198"/>
      <c r="H967" s="199"/>
    </row>
    <row r="968" spans="4:8" s="65" customFormat="1" ht="14.25">
      <c r="D968" s="198"/>
      <c r="H968" s="199"/>
    </row>
    <row r="969" spans="4:8" s="65" customFormat="1" ht="14.25">
      <c r="D969" s="198"/>
      <c r="H969" s="199"/>
    </row>
    <row r="970" spans="4:8" s="65" customFormat="1" ht="14.25">
      <c r="D970" s="198"/>
      <c r="H970" s="199"/>
    </row>
    <row r="971" spans="4:8" s="65" customFormat="1" ht="14.25">
      <c r="D971" s="198"/>
      <c r="H971" s="199"/>
    </row>
    <row r="972" spans="4:8" s="65" customFormat="1" ht="14.25">
      <c r="D972" s="198"/>
      <c r="H972" s="199"/>
    </row>
    <row r="973" spans="4:8" s="65" customFormat="1" ht="14.25">
      <c r="D973" s="198"/>
      <c r="H973" s="199"/>
    </row>
    <row r="974" spans="4:8" s="65" customFormat="1" ht="14.25">
      <c r="D974" s="198"/>
      <c r="H974" s="199"/>
    </row>
    <row r="975" spans="4:8" s="65" customFormat="1" ht="14.25">
      <c r="D975" s="198"/>
      <c r="H975" s="199"/>
    </row>
    <row r="976" spans="4:8" s="65" customFormat="1" ht="14.25">
      <c r="D976" s="198"/>
      <c r="H976" s="199"/>
    </row>
    <row r="977" spans="4:8" s="65" customFormat="1" ht="14.25">
      <c r="D977" s="198"/>
      <c r="H977" s="199"/>
    </row>
    <row r="978" spans="4:8" s="65" customFormat="1" ht="14.25">
      <c r="D978" s="198"/>
      <c r="H978" s="199"/>
    </row>
    <row r="979" spans="4:8" s="65" customFormat="1" ht="14.25">
      <c r="D979" s="198"/>
      <c r="H979" s="199"/>
    </row>
    <row r="980" spans="4:8" s="65" customFormat="1" ht="14.25">
      <c r="D980" s="198"/>
      <c r="H980" s="199"/>
    </row>
    <row r="981" spans="4:8" s="65" customFormat="1" ht="14.25">
      <c r="D981" s="198"/>
      <c r="H981" s="199"/>
    </row>
    <row r="982" spans="4:8" s="65" customFormat="1" ht="14.25">
      <c r="D982" s="198"/>
      <c r="H982" s="199"/>
    </row>
    <row r="983" spans="4:8" s="65" customFormat="1" ht="14.25">
      <c r="D983" s="198"/>
      <c r="H983" s="199"/>
    </row>
    <row r="984" spans="4:8" s="65" customFormat="1" ht="14.25">
      <c r="D984" s="198"/>
      <c r="H984" s="199"/>
    </row>
    <row r="985" spans="4:8" s="65" customFormat="1" ht="14.25">
      <c r="D985" s="198"/>
      <c r="H985" s="199"/>
    </row>
    <row r="986" spans="4:8" s="65" customFormat="1" ht="14.25">
      <c r="D986" s="198"/>
      <c r="H986" s="199"/>
    </row>
    <row r="987" spans="4:8" s="65" customFormat="1" ht="14.25">
      <c r="D987" s="198"/>
      <c r="H987" s="199"/>
    </row>
    <row r="988" spans="4:8" s="65" customFormat="1" ht="14.25">
      <c r="D988" s="198"/>
      <c r="H988" s="199"/>
    </row>
    <row r="989" spans="4:8" s="65" customFormat="1" ht="14.25">
      <c r="D989" s="198"/>
      <c r="H989" s="199"/>
    </row>
    <row r="990" spans="4:8" s="65" customFormat="1" ht="14.25">
      <c r="D990" s="198"/>
      <c r="H990" s="199"/>
    </row>
    <row r="991" spans="4:8" s="65" customFormat="1" ht="14.25">
      <c r="D991" s="198"/>
      <c r="H991" s="199"/>
    </row>
    <row r="992" spans="4:8" s="65" customFormat="1" ht="14.25">
      <c r="D992" s="198"/>
      <c r="H992" s="199"/>
    </row>
    <row r="993" spans="4:8" s="65" customFormat="1" ht="14.25">
      <c r="D993" s="198"/>
      <c r="H993" s="199"/>
    </row>
    <row r="994" spans="4:8" s="65" customFormat="1" ht="14.25">
      <c r="D994" s="198"/>
      <c r="H994" s="199"/>
    </row>
    <row r="995" spans="4:8" s="65" customFormat="1" ht="14.25">
      <c r="D995" s="198"/>
      <c r="H995" s="199"/>
    </row>
    <row r="996" spans="4:8" s="65" customFormat="1" ht="14.25">
      <c r="D996" s="198"/>
      <c r="H996" s="199"/>
    </row>
    <row r="997" spans="4:8" s="65" customFormat="1" ht="14.25">
      <c r="D997" s="198"/>
      <c r="H997" s="199"/>
    </row>
    <row r="998" spans="4:8" s="65" customFormat="1" ht="14.25">
      <c r="D998" s="198"/>
      <c r="H998" s="199"/>
    </row>
    <row r="999" spans="4:8" s="65" customFormat="1" ht="14.25">
      <c r="D999" s="198"/>
      <c r="H999" s="199"/>
    </row>
    <row r="1000" spans="4:8" s="65" customFormat="1" ht="14.25">
      <c r="D1000" s="198"/>
      <c r="H1000" s="199"/>
    </row>
    <row r="1001" spans="4:8" s="65" customFormat="1" ht="14.25">
      <c r="D1001" s="198"/>
      <c r="H1001" s="199"/>
    </row>
    <row r="1002" spans="4:8" s="65" customFormat="1" ht="14.25">
      <c r="D1002" s="198"/>
      <c r="H1002" s="199"/>
    </row>
    <row r="1003" spans="4:8" s="65" customFormat="1" ht="14.25">
      <c r="D1003" s="198"/>
      <c r="H1003" s="199"/>
    </row>
    <row r="1004" spans="4:8" s="65" customFormat="1" ht="14.25">
      <c r="D1004" s="198"/>
      <c r="H1004" s="199"/>
    </row>
    <row r="1005" spans="4:8" s="65" customFormat="1" ht="14.25">
      <c r="D1005" s="198"/>
      <c r="H1005" s="199"/>
    </row>
    <row r="1006" spans="4:8" s="65" customFormat="1" ht="14.25">
      <c r="D1006" s="198"/>
      <c r="H1006" s="199"/>
    </row>
    <row r="1007" spans="4:8" s="65" customFormat="1" ht="14.25">
      <c r="D1007" s="198"/>
      <c r="H1007" s="199"/>
    </row>
    <row r="1008" spans="4:8" s="65" customFormat="1" ht="14.25">
      <c r="D1008" s="198"/>
      <c r="H1008" s="199"/>
    </row>
    <row r="1009" spans="4:8" s="65" customFormat="1" ht="14.25">
      <c r="D1009" s="198"/>
      <c r="H1009" s="199"/>
    </row>
    <row r="1010" spans="4:8" s="65" customFormat="1" ht="14.25">
      <c r="D1010" s="198"/>
      <c r="H1010" s="199"/>
    </row>
    <row r="1011" spans="4:8" s="65" customFormat="1" ht="14.25">
      <c r="D1011" s="198"/>
      <c r="H1011" s="199"/>
    </row>
    <row r="1012" spans="4:8" s="65" customFormat="1" ht="14.25">
      <c r="D1012" s="198"/>
      <c r="H1012" s="199"/>
    </row>
    <row r="1013" spans="4:8" s="65" customFormat="1" ht="14.25">
      <c r="D1013" s="198"/>
      <c r="H1013" s="199"/>
    </row>
    <row r="1014" spans="4:8" s="65" customFormat="1" ht="14.25">
      <c r="D1014" s="198"/>
      <c r="H1014" s="199"/>
    </row>
    <row r="1015" spans="4:8" s="65" customFormat="1" ht="14.25">
      <c r="D1015" s="198"/>
      <c r="H1015" s="199"/>
    </row>
    <row r="1016" spans="4:8" s="65" customFormat="1" ht="14.25">
      <c r="D1016" s="198"/>
      <c r="H1016" s="199"/>
    </row>
    <row r="1017" spans="4:8" s="65" customFormat="1" ht="14.25">
      <c r="D1017" s="198"/>
      <c r="H1017" s="199"/>
    </row>
    <row r="1018" spans="4:8" s="65" customFormat="1" ht="14.25">
      <c r="D1018" s="198"/>
      <c r="H1018" s="199"/>
    </row>
    <row r="1019" spans="4:8" s="65" customFormat="1" ht="14.25">
      <c r="D1019" s="198"/>
      <c r="H1019" s="199"/>
    </row>
    <row r="1020" spans="4:8" s="65" customFormat="1" ht="14.25">
      <c r="D1020" s="198"/>
      <c r="H1020" s="199"/>
    </row>
    <row r="1021" spans="4:8" s="65" customFormat="1" ht="14.25">
      <c r="D1021" s="198"/>
      <c r="H1021" s="199"/>
    </row>
    <row r="1022" spans="4:8" s="65" customFormat="1" ht="14.25">
      <c r="D1022" s="198"/>
      <c r="H1022" s="199"/>
    </row>
    <row r="1023" spans="4:8" s="65" customFormat="1" ht="14.25">
      <c r="D1023" s="198"/>
      <c r="H1023" s="199"/>
    </row>
    <row r="1024" spans="4:8" s="65" customFormat="1" ht="14.25">
      <c r="D1024" s="198"/>
      <c r="H1024" s="199"/>
    </row>
    <row r="1025" spans="4:8" s="65" customFormat="1" ht="14.25">
      <c r="D1025" s="198"/>
      <c r="H1025" s="199"/>
    </row>
    <row r="1026" spans="4:8" s="65" customFormat="1" ht="14.25">
      <c r="D1026" s="198"/>
      <c r="H1026" s="199"/>
    </row>
    <row r="1027" spans="4:8" s="65" customFormat="1" ht="14.25">
      <c r="D1027" s="198"/>
      <c r="H1027" s="199"/>
    </row>
    <row r="1028" spans="4:8" s="65" customFormat="1" ht="14.25">
      <c r="D1028" s="198"/>
      <c r="H1028" s="199"/>
    </row>
    <row r="1029" spans="4:8" s="65" customFormat="1" ht="14.25">
      <c r="D1029" s="198"/>
      <c r="H1029" s="199"/>
    </row>
    <row r="1030" spans="4:8" s="65" customFormat="1" ht="14.25">
      <c r="D1030" s="198"/>
      <c r="H1030" s="199"/>
    </row>
    <row r="1031" spans="4:8" s="65" customFormat="1" ht="14.25">
      <c r="D1031" s="198"/>
      <c r="H1031" s="199"/>
    </row>
    <row r="1032" spans="4:8" s="65" customFormat="1" ht="14.25">
      <c r="D1032" s="198"/>
      <c r="H1032" s="199"/>
    </row>
    <row r="1033" spans="4:8" s="65" customFormat="1" ht="14.25">
      <c r="D1033" s="198"/>
      <c r="H1033" s="199"/>
    </row>
    <row r="1034" spans="4:8" s="65" customFormat="1" ht="14.25">
      <c r="D1034" s="198"/>
      <c r="H1034" s="199"/>
    </row>
    <row r="1035" spans="4:8" s="65" customFormat="1" ht="14.25">
      <c r="D1035" s="198"/>
      <c r="H1035" s="199"/>
    </row>
    <row r="1036" spans="4:8" s="65" customFormat="1" ht="14.25">
      <c r="D1036" s="198"/>
      <c r="H1036" s="199"/>
    </row>
    <row r="1037" spans="4:8" s="65" customFormat="1" ht="14.25">
      <c r="D1037" s="198"/>
      <c r="H1037" s="199"/>
    </row>
    <row r="1038" spans="4:8" s="65" customFormat="1" ht="14.25">
      <c r="D1038" s="198"/>
      <c r="H1038" s="199"/>
    </row>
    <row r="1039" spans="4:8" s="65" customFormat="1" ht="14.25">
      <c r="D1039" s="198"/>
      <c r="H1039" s="199"/>
    </row>
    <row r="1040" spans="4:8" s="65" customFormat="1" ht="14.25">
      <c r="D1040" s="198"/>
      <c r="H1040" s="199"/>
    </row>
    <row r="1041" spans="4:8" s="65" customFormat="1" ht="14.25">
      <c r="D1041" s="198"/>
      <c r="H1041" s="199"/>
    </row>
    <row r="1042" spans="4:8" s="65" customFormat="1" ht="14.25">
      <c r="D1042" s="198"/>
      <c r="H1042" s="199"/>
    </row>
    <row r="1043" spans="4:8" s="65" customFormat="1" ht="14.25">
      <c r="D1043" s="198"/>
      <c r="H1043" s="199"/>
    </row>
    <row r="1044" spans="4:8" s="65" customFormat="1" ht="14.25">
      <c r="D1044" s="198"/>
      <c r="H1044" s="199"/>
    </row>
    <row r="1045" spans="4:8" s="65" customFormat="1" ht="14.25">
      <c r="D1045" s="198"/>
      <c r="H1045" s="199"/>
    </row>
    <row r="1046" spans="4:8" s="65" customFormat="1" ht="14.25">
      <c r="D1046" s="198"/>
      <c r="H1046" s="199"/>
    </row>
    <row r="1047" spans="4:8" s="65" customFormat="1" ht="14.25">
      <c r="D1047" s="198"/>
      <c r="H1047" s="199"/>
    </row>
    <row r="1048" spans="4:8" s="65" customFormat="1" ht="14.25">
      <c r="D1048" s="198"/>
      <c r="H1048" s="199"/>
    </row>
    <row r="1049" spans="4:8" s="65" customFormat="1" ht="14.25">
      <c r="D1049" s="198"/>
      <c r="H1049" s="199"/>
    </row>
    <row r="1050" spans="4:8" s="65" customFormat="1" ht="14.25">
      <c r="D1050" s="198"/>
      <c r="H1050" s="199"/>
    </row>
    <row r="1051" spans="4:8" s="65" customFormat="1" ht="14.25">
      <c r="D1051" s="198"/>
      <c r="H1051" s="199"/>
    </row>
    <row r="1052" spans="4:8" s="65" customFormat="1" ht="14.25">
      <c r="D1052" s="198"/>
      <c r="H1052" s="199"/>
    </row>
    <row r="1053" spans="4:8" s="65" customFormat="1" ht="14.25">
      <c r="D1053" s="198"/>
      <c r="H1053" s="199"/>
    </row>
    <row r="1054" spans="4:8" s="65" customFormat="1" ht="14.25">
      <c r="D1054" s="198"/>
      <c r="H1054" s="199"/>
    </row>
    <row r="1055" spans="4:8" s="65" customFormat="1" ht="14.25">
      <c r="D1055" s="198"/>
      <c r="H1055" s="199"/>
    </row>
    <row r="1056" spans="4:8" s="65" customFormat="1" ht="14.25">
      <c r="D1056" s="198"/>
      <c r="H1056" s="199"/>
    </row>
    <row r="1057" spans="4:8" s="65" customFormat="1" ht="14.25">
      <c r="D1057" s="198"/>
      <c r="H1057" s="199"/>
    </row>
    <row r="1058" spans="4:8" s="65" customFormat="1" ht="14.25">
      <c r="D1058" s="198"/>
      <c r="H1058" s="199"/>
    </row>
    <row r="1059" spans="4:8" s="65" customFormat="1" ht="14.25">
      <c r="D1059" s="198"/>
      <c r="H1059" s="199"/>
    </row>
    <row r="1060" spans="4:8" s="65" customFormat="1" ht="14.25">
      <c r="D1060" s="198"/>
      <c r="H1060" s="199"/>
    </row>
    <row r="1061" spans="4:8" s="65" customFormat="1" ht="14.25">
      <c r="D1061" s="198"/>
      <c r="H1061" s="199"/>
    </row>
    <row r="1062" spans="4:8" s="65" customFormat="1" ht="14.25">
      <c r="D1062" s="198"/>
      <c r="H1062" s="199"/>
    </row>
    <row r="1063" spans="4:8" s="65" customFormat="1" ht="14.25">
      <c r="D1063" s="198"/>
      <c r="H1063" s="199"/>
    </row>
    <row r="1064" spans="4:8" s="65" customFormat="1" ht="14.25">
      <c r="D1064" s="198"/>
      <c r="H1064" s="199"/>
    </row>
    <row r="1065" spans="4:8" s="65" customFormat="1" ht="14.25">
      <c r="D1065" s="198"/>
      <c r="H1065" s="199"/>
    </row>
    <row r="1066" spans="4:8" s="65" customFormat="1" ht="14.25">
      <c r="D1066" s="198"/>
      <c r="H1066" s="199"/>
    </row>
    <row r="1067" spans="4:8" s="65" customFormat="1" ht="14.25">
      <c r="D1067" s="198"/>
      <c r="H1067" s="199"/>
    </row>
    <row r="1068" spans="4:8" s="65" customFormat="1" ht="14.25">
      <c r="D1068" s="198"/>
      <c r="H1068" s="199"/>
    </row>
    <row r="1069" spans="4:8" s="65" customFormat="1" ht="14.25">
      <c r="D1069" s="198"/>
      <c r="H1069" s="199"/>
    </row>
    <row r="1070" spans="4:8" s="65" customFormat="1" ht="14.25">
      <c r="D1070" s="198"/>
      <c r="H1070" s="199"/>
    </row>
    <row r="1071" spans="4:8" s="65" customFormat="1" ht="14.25">
      <c r="D1071" s="198"/>
      <c r="H1071" s="199"/>
    </row>
    <row r="1072" spans="4:8" s="65" customFormat="1" ht="14.25">
      <c r="D1072" s="198"/>
      <c r="H1072" s="199"/>
    </row>
    <row r="1073" spans="4:8" s="65" customFormat="1" ht="14.25">
      <c r="D1073" s="198"/>
      <c r="H1073" s="199"/>
    </row>
    <row r="1074" spans="4:8" s="65" customFormat="1" ht="14.25">
      <c r="D1074" s="198"/>
      <c r="H1074" s="199"/>
    </row>
    <row r="1075" spans="4:8" s="65" customFormat="1" ht="14.25">
      <c r="D1075" s="198"/>
      <c r="H1075" s="199"/>
    </row>
    <row r="1076" spans="4:8" s="65" customFormat="1" ht="14.25">
      <c r="D1076" s="198"/>
      <c r="H1076" s="199"/>
    </row>
    <row r="1077" spans="4:8" s="65" customFormat="1" ht="14.25">
      <c r="D1077" s="198"/>
      <c r="H1077" s="199"/>
    </row>
    <row r="1078" spans="4:8" s="65" customFormat="1" ht="14.25">
      <c r="D1078" s="198"/>
      <c r="H1078" s="199"/>
    </row>
    <row r="1079" spans="4:8" s="65" customFormat="1" ht="14.25">
      <c r="D1079" s="198"/>
      <c r="H1079" s="199"/>
    </row>
    <row r="1080" spans="4:8" s="65" customFormat="1" ht="14.25">
      <c r="D1080" s="198"/>
      <c r="H1080" s="199"/>
    </row>
    <row r="1081" spans="4:8" s="65" customFormat="1" ht="14.25">
      <c r="D1081" s="198"/>
      <c r="H1081" s="199"/>
    </row>
    <row r="1082" spans="1:12" ht="14.25">
      <c r="A1082" s="65"/>
      <c r="B1082" s="65"/>
      <c r="C1082" s="65"/>
      <c r="D1082" s="198"/>
      <c r="E1082" s="65"/>
      <c r="F1082" s="65"/>
      <c r="G1082" s="65"/>
      <c r="H1082" s="199"/>
      <c r="I1082" s="65"/>
      <c r="J1082" s="65"/>
      <c r="K1082" s="65"/>
      <c r="L1082" s="65"/>
    </row>
    <row r="1083" spans="1:12" ht="14.25">
      <c r="A1083" s="65"/>
      <c r="B1083" s="65"/>
      <c r="C1083" s="65"/>
      <c r="D1083" s="198"/>
      <c r="E1083" s="65"/>
      <c r="F1083" s="65"/>
      <c r="G1083" s="65"/>
      <c r="H1083" s="199"/>
      <c r="I1083" s="65"/>
      <c r="J1083" s="65"/>
      <c r="K1083" s="65"/>
      <c r="L1083" s="65"/>
    </row>
    <row r="1084" spans="1:12" ht="14.25">
      <c r="A1084" s="65"/>
      <c r="B1084" s="65"/>
      <c r="C1084" s="65"/>
      <c r="D1084" s="198"/>
      <c r="E1084" s="65"/>
      <c r="F1084" s="65"/>
      <c r="G1084" s="65"/>
      <c r="H1084" s="199"/>
      <c r="I1084" s="65"/>
      <c r="J1084" s="65"/>
      <c r="K1084" s="65"/>
      <c r="L1084" s="65"/>
    </row>
    <row r="1085" spans="1:12" ht="14.25">
      <c r="A1085" s="65"/>
      <c r="B1085" s="65"/>
      <c r="C1085" s="65"/>
      <c r="D1085" s="198"/>
      <c r="E1085" s="65"/>
      <c r="F1085" s="65"/>
      <c r="G1085" s="65"/>
      <c r="H1085" s="199"/>
      <c r="I1085" s="65"/>
      <c r="J1085" s="65"/>
      <c r="K1085" s="65"/>
      <c r="L1085" s="65"/>
    </row>
    <row r="1086" spans="1:12" ht="14.25">
      <c r="A1086" s="65"/>
      <c r="B1086" s="65"/>
      <c r="C1086" s="65"/>
      <c r="D1086" s="198"/>
      <c r="E1086" s="65"/>
      <c r="F1086" s="65"/>
      <c r="G1086" s="65"/>
      <c r="H1086" s="199"/>
      <c r="I1086" s="65"/>
      <c r="J1086" s="65"/>
      <c r="K1086" s="65"/>
      <c r="L1086" s="65"/>
    </row>
    <row r="1087" spans="1:12" ht="14.25">
      <c r="A1087" s="65"/>
      <c r="B1087" s="65"/>
      <c r="C1087" s="65"/>
      <c r="D1087" s="198"/>
      <c r="E1087" s="65"/>
      <c r="F1087" s="65"/>
      <c r="G1087" s="65"/>
      <c r="H1087" s="199"/>
      <c r="I1087" s="65"/>
      <c r="J1087" s="65"/>
      <c r="K1087" s="65"/>
      <c r="L1087" s="65"/>
    </row>
    <row r="1088" spans="1:12" ht="14.25">
      <c r="A1088" s="65"/>
      <c r="B1088" s="65"/>
      <c r="C1088" s="65"/>
      <c r="D1088" s="198"/>
      <c r="E1088" s="65"/>
      <c r="F1088" s="65"/>
      <c r="G1088" s="65"/>
      <c r="H1088" s="199"/>
      <c r="I1088" s="65"/>
      <c r="J1088" s="65"/>
      <c r="K1088" s="65"/>
      <c r="L1088" s="65"/>
    </row>
    <row r="1089" spans="1:12" ht="14.25">
      <c r="A1089" s="65"/>
      <c r="B1089" s="65"/>
      <c r="C1089" s="65"/>
      <c r="D1089" s="198"/>
      <c r="E1089" s="65"/>
      <c r="F1089" s="65"/>
      <c r="G1089" s="65"/>
      <c r="H1089" s="199"/>
      <c r="I1089" s="65"/>
      <c r="J1089" s="65"/>
      <c r="K1089" s="65"/>
      <c r="L1089" s="65"/>
    </row>
    <row r="1090" spans="1:12" ht="14.25">
      <c r="A1090" s="65"/>
      <c r="B1090" s="65"/>
      <c r="C1090" s="65"/>
      <c r="D1090" s="198"/>
      <c r="E1090" s="65"/>
      <c r="F1090" s="65"/>
      <c r="G1090" s="65"/>
      <c r="H1090" s="199"/>
      <c r="I1090" s="65"/>
      <c r="J1090" s="65"/>
      <c r="K1090" s="65"/>
      <c r="L1090" s="65"/>
    </row>
    <row r="1091" spans="1:12" ht="14.25">
      <c r="A1091" s="65"/>
      <c r="B1091" s="65"/>
      <c r="C1091" s="65"/>
      <c r="D1091" s="198"/>
      <c r="E1091" s="65"/>
      <c r="F1091" s="65"/>
      <c r="G1091" s="65"/>
      <c r="H1091" s="199"/>
      <c r="I1091" s="65"/>
      <c r="J1091" s="65"/>
      <c r="K1091" s="65"/>
      <c r="L1091" s="65"/>
    </row>
  </sheetData>
  <sheetProtection selectLockedCells="1" selectUnlockedCells="1"/>
  <autoFilter ref="K1:K1091"/>
  <mergeCells count="298">
    <mergeCell ref="K1:L1"/>
    <mergeCell ref="K2:L2"/>
    <mergeCell ref="K3:L3"/>
    <mergeCell ref="A6:L6"/>
    <mergeCell ref="A7:A11"/>
    <mergeCell ref="B7:B11"/>
    <mergeCell ref="C7:C11"/>
    <mergeCell ref="D7:D11"/>
    <mergeCell ref="E7:I7"/>
    <mergeCell ref="J7:J11"/>
    <mergeCell ref="K7:K11"/>
    <mergeCell ref="L7:L11"/>
    <mergeCell ref="F8:I8"/>
    <mergeCell ref="E9:E11"/>
    <mergeCell ref="F9:H9"/>
    <mergeCell ref="I9:I11"/>
    <mergeCell ref="F10:F11"/>
    <mergeCell ref="G10:H10"/>
    <mergeCell ref="A13:L13"/>
    <mergeCell ref="B14:L14"/>
    <mergeCell ref="B15:L15"/>
    <mergeCell ref="A16:A24"/>
    <mergeCell ref="B16:B24"/>
    <mergeCell ref="K16:K24"/>
    <mergeCell ref="L16:L34"/>
    <mergeCell ref="A25:A34"/>
    <mergeCell ref="B25:B34"/>
    <mergeCell ref="K25:K34"/>
    <mergeCell ref="C28:C29"/>
    <mergeCell ref="E28:E29"/>
    <mergeCell ref="F28:F29"/>
    <mergeCell ref="G28:G29"/>
    <mergeCell ref="H28:H29"/>
    <mergeCell ref="I28:I29"/>
    <mergeCell ref="J28:J29"/>
    <mergeCell ref="A35:A43"/>
    <mergeCell ref="B35:B43"/>
    <mergeCell ref="K35:K43"/>
    <mergeCell ref="L35:L43"/>
    <mergeCell ref="A44:A52"/>
    <mergeCell ref="B44:B52"/>
    <mergeCell ref="K44:K52"/>
    <mergeCell ref="L44:L52"/>
    <mergeCell ref="A53:A66"/>
    <mergeCell ref="B53:B66"/>
    <mergeCell ref="C53:C55"/>
    <mergeCell ref="L53:L66"/>
    <mergeCell ref="C59:C60"/>
    <mergeCell ref="K61:K66"/>
    <mergeCell ref="A67:A84"/>
    <mergeCell ref="B67:B84"/>
    <mergeCell ref="C67:C70"/>
    <mergeCell ref="L67:L84"/>
    <mergeCell ref="K69:K84"/>
    <mergeCell ref="C71:C73"/>
    <mergeCell ref="C74:C76"/>
    <mergeCell ref="C77:C78"/>
    <mergeCell ref="C79:C80"/>
    <mergeCell ref="A85:A93"/>
    <mergeCell ref="B85:B93"/>
    <mergeCell ref="K85:K93"/>
    <mergeCell ref="L85:L93"/>
    <mergeCell ref="A94:A102"/>
    <mergeCell ref="B94:B102"/>
    <mergeCell ref="K94:K95"/>
    <mergeCell ref="L94:L102"/>
    <mergeCell ref="A103:A111"/>
    <mergeCell ref="B103:B111"/>
    <mergeCell ref="K103:K111"/>
    <mergeCell ref="L103:L111"/>
    <mergeCell ref="A112:A120"/>
    <mergeCell ref="B112:B120"/>
    <mergeCell ref="K112:K120"/>
    <mergeCell ref="L112:L120"/>
    <mergeCell ref="A121:A135"/>
    <mergeCell ref="B121:B135"/>
    <mergeCell ref="K121:K126"/>
    <mergeCell ref="L121:L135"/>
    <mergeCell ref="K128:K129"/>
    <mergeCell ref="A136:A144"/>
    <mergeCell ref="B136:B144"/>
    <mergeCell ref="K136:K144"/>
    <mergeCell ref="L136:L206"/>
    <mergeCell ref="A145:A154"/>
    <mergeCell ref="B145:B154"/>
    <mergeCell ref="C145:C146"/>
    <mergeCell ref="K145:K155"/>
    <mergeCell ref="A155:A163"/>
    <mergeCell ref="B155:B163"/>
    <mergeCell ref="K156:K169"/>
    <mergeCell ref="A164:A172"/>
    <mergeCell ref="B164:B172"/>
    <mergeCell ref="A173:A183"/>
    <mergeCell ref="B173:B183"/>
    <mergeCell ref="K173:K183"/>
    <mergeCell ref="C176:C178"/>
    <mergeCell ref="A184:A188"/>
    <mergeCell ref="B184:B188"/>
    <mergeCell ref="K184:K192"/>
    <mergeCell ref="A189:A192"/>
    <mergeCell ref="B189:B192"/>
    <mergeCell ref="A193:A196"/>
    <mergeCell ref="B193:B196"/>
    <mergeCell ref="K193:K196"/>
    <mergeCell ref="A199:A207"/>
    <mergeCell ref="B199:B207"/>
    <mergeCell ref="A208:L208"/>
    <mergeCell ref="B209:L209"/>
    <mergeCell ref="B210:L210"/>
    <mergeCell ref="L211:L821"/>
    <mergeCell ref="A212:A221"/>
    <mergeCell ref="B212:B221"/>
    <mergeCell ref="C212:C213"/>
    <mergeCell ref="A222:A230"/>
    <mergeCell ref="B222:B230"/>
    <mergeCell ref="A231:A239"/>
    <mergeCell ref="B231:B239"/>
    <mergeCell ref="A240:A249"/>
    <mergeCell ref="B240:B249"/>
    <mergeCell ref="C240:C241"/>
    <mergeCell ref="A250:A258"/>
    <mergeCell ref="B250:B258"/>
    <mergeCell ref="A259:A267"/>
    <mergeCell ref="B259:B267"/>
    <mergeCell ref="A268:A276"/>
    <mergeCell ref="B268:B276"/>
    <mergeCell ref="K269:K271"/>
    <mergeCell ref="A277:A285"/>
    <mergeCell ref="B277:B285"/>
    <mergeCell ref="K278:K286"/>
    <mergeCell ref="A286:A294"/>
    <mergeCell ref="B286:B294"/>
    <mergeCell ref="K288:K289"/>
    <mergeCell ref="A295:A303"/>
    <mergeCell ref="B295:B303"/>
    <mergeCell ref="K296:K298"/>
    <mergeCell ref="A304:A316"/>
    <mergeCell ref="B304:B316"/>
    <mergeCell ref="A317:A325"/>
    <mergeCell ref="B317:B325"/>
    <mergeCell ref="A326:A335"/>
    <mergeCell ref="B326:B335"/>
    <mergeCell ref="A336:A344"/>
    <mergeCell ref="B336:B344"/>
    <mergeCell ref="A345:A353"/>
    <mergeCell ref="B345:B353"/>
    <mergeCell ref="A354:A362"/>
    <mergeCell ref="B354:B362"/>
    <mergeCell ref="A363:A371"/>
    <mergeCell ref="B363:B371"/>
    <mergeCell ref="A372:A380"/>
    <mergeCell ref="B372:B380"/>
    <mergeCell ref="K372:K376"/>
    <mergeCell ref="A381:A389"/>
    <mergeCell ref="B381:B389"/>
    <mergeCell ref="A390:A398"/>
    <mergeCell ref="B390:B398"/>
    <mergeCell ref="A399:A407"/>
    <mergeCell ref="B399:B407"/>
    <mergeCell ref="K399:K403"/>
    <mergeCell ref="A408:A416"/>
    <mergeCell ref="B408:B416"/>
    <mergeCell ref="K408:K412"/>
    <mergeCell ref="A417:A425"/>
    <mergeCell ref="B417:B425"/>
    <mergeCell ref="A426:A434"/>
    <mergeCell ref="B426:B434"/>
    <mergeCell ref="K426:K430"/>
    <mergeCell ref="A435:A443"/>
    <mergeCell ref="B435:B443"/>
    <mergeCell ref="K435:K439"/>
    <mergeCell ref="A444:A452"/>
    <mergeCell ref="B444:B452"/>
    <mergeCell ref="K444:K448"/>
    <mergeCell ref="A453:A461"/>
    <mergeCell ref="B453:B461"/>
    <mergeCell ref="A462:A470"/>
    <mergeCell ref="B462:B470"/>
    <mergeCell ref="A471:A479"/>
    <mergeCell ref="B471:B479"/>
    <mergeCell ref="A480:A488"/>
    <mergeCell ref="B480:B488"/>
    <mergeCell ref="A489:A497"/>
    <mergeCell ref="B489:B497"/>
    <mergeCell ref="A498:A506"/>
    <mergeCell ref="B498:B506"/>
    <mergeCell ref="A507:A515"/>
    <mergeCell ref="B507:B515"/>
    <mergeCell ref="K509:K515"/>
    <mergeCell ref="A516:A524"/>
    <mergeCell ref="B516:B524"/>
    <mergeCell ref="A525:A533"/>
    <mergeCell ref="B525:B533"/>
    <mergeCell ref="A534:A542"/>
    <mergeCell ref="B534:B542"/>
    <mergeCell ref="A543:A551"/>
    <mergeCell ref="B543:B551"/>
    <mergeCell ref="A552:A560"/>
    <mergeCell ref="B552:B560"/>
    <mergeCell ref="A561:A569"/>
    <mergeCell ref="B561:B569"/>
    <mergeCell ref="A570:A578"/>
    <mergeCell ref="B570:B578"/>
    <mergeCell ref="A579:A587"/>
    <mergeCell ref="B579:B587"/>
    <mergeCell ref="A588:A596"/>
    <mergeCell ref="B588:B596"/>
    <mergeCell ref="A597:A605"/>
    <mergeCell ref="B597:B605"/>
    <mergeCell ref="A606:A614"/>
    <mergeCell ref="B606:B614"/>
    <mergeCell ref="A615:A623"/>
    <mergeCell ref="B615:B623"/>
    <mergeCell ref="A624:A668"/>
    <mergeCell ref="B624:B630"/>
    <mergeCell ref="B631:B636"/>
    <mergeCell ref="B637:B643"/>
    <mergeCell ref="B644:B650"/>
    <mergeCell ref="B651:B657"/>
    <mergeCell ref="B658:B664"/>
    <mergeCell ref="B665:B676"/>
    <mergeCell ref="A669:A676"/>
    <mergeCell ref="A677:A685"/>
    <mergeCell ref="B677:B685"/>
    <mergeCell ref="A686:A694"/>
    <mergeCell ref="B686:B694"/>
    <mergeCell ref="A695:A703"/>
    <mergeCell ref="B695:B703"/>
    <mergeCell ref="A704:A712"/>
    <mergeCell ref="B704:B712"/>
    <mergeCell ref="A713:A721"/>
    <mergeCell ref="B713:B721"/>
    <mergeCell ref="A722:A730"/>
    <mergeCell ref="B722:B730"/>
    <mergeCell ref="A731:A739"/>
    <mergeCell ref="B731:B739"/>
    <mergeCell ref="A740:A748"/>
    <mergeCell ref="B740:B748"/>
    <mergeCell ref="A749:A757"/>
    <mergeCell ref="B749:B757"/>
    <mergeCell ref="K752:K753"/>
    <mergeCell ref="A758:A766"/>
    <mergeCell ref="B758:B766"/>
    <mergeCell ref="A767:A775"/>
    <mergeCell ref="B767:B775"/>
    <mergeCell ref="A776:A784"/>
    <mergeCell ref="B776:B784"/>
    <mergeCell ref="A785:A793"/>
    <mergeCell ref="B785:B793"/>
    <mergeCell ref="A794:A802"/>
    <mergeCell ref="B794:B802"/>
    <mergeCell ref="K797:K798"/>
    <mergeCell ref="A803:A811"/>
    <mergeCell ref="B803:B811"/>
    <mergeCell ref="A812:A816"/>
    <mergeCell ref="B812:B816"/>
    <mergeCell ref="A817:A825"/>
    <mergeCell ref="B817:B825"/>
    <mergeCell ref="B826:L826"/>
    <mergeCell ref="B828:L828"/>
    <mergeCell ref="A829:A837"/>
    <mergeCell ref="B829:B837"/>
    <mergeCell ref="K829:K837"/>
    <mergeCell ref="A838:B846"/>
    <mergeCell ref="A847:K847"/>
    <mergeCell ref="B848:L848"/>
    <mergeCell ref="A849:A857"/>
    <mergeCell ref="B849:B857"/>
    <mergeCell ref="K849:K857"/>
    <mergeCell ref="L849:L917"/>
    <mergeCell ref="A858:A864"/>
    <mergeCell ref="B858:B864"/>
    <mergeCell ref="K858:K864"/>
    <mergeCell ref="A865:A873"/>
    <mergeCell ref="B865:B873"/>
    <mergeCell ref="K865:K873"/>
    <mergeCell ref="A874:A882"/>
    <mergeCell ref="B874:B882"/>
    <mergeCell ref="K874:K882"/>
    <mergeCell ref="A883:A891"/>
    <mergeCell ref="B883:B891"/>
    <mergeCell ref="K883:K891"/>
    <mergeCell ref="A892:A900"/>
    <mergeCell ref="B892:B900"/>
    <mergeCell ref="K892:K900"/>
    <mergeCell ref="A901:A909"/>
    <mergeCell ref="B901:B909"/>
    <mergeCell ref="K901:K909"/>
    <mergeCell ref="A910:A916"/>
    <mergeCell ref="B910:B916"/>
    <mergeCell ref="A917:B925"/>
    <mergeCell ref="A926:J926"/>
    <mergeCell ref="B928:L928"/>
    <mergeCell ref="A929:A937"/>
    <mergeCell ref="B929:B937"/>
    <mergeCell ref="L929:L943"/>
    <mergeCell ref="A938:B946"/>
    <mergeCell ref="A947:B956"/>
  </mergeCells>
  <printOptions/>
  <pageMargins left="0.8659722222222223" right="0.7083333333333334" top="0" bottom="0" header="0.5118055555555555" footer="0.5118055555555555"/>
  <pageSetup fitToHeight="21" fitToWidth="1" horizontalDpi="300" verticalDpi="300" orientation="landscape" paperSize="9"/>
  <rowBreaks count="9" manualBreakCount="9">
    <brk id="52" max="255" man="1"/>
    <brk id="108" max="255" man="1"/>
    <brk id="159" max="255" man="1"/>
    <brk id="227" max="255" man="1"/>
    <brk id="338" max="255" man="1"/>
    <brk id="387" max="255" man="1"/>
    <brk id="828" max="255" man="1"/>
    <brk id="871" max="255" man="1"/>
    <brk id="9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92"/>
  <sheetViews>
    <sheetView view="pageBreakPreview" zoomScale="70" zoomScaleNormal="85" zoomScaleSheetLayoutView="70" workbookViewId="0" topLeftCell="A130">
      <selection activeCell="O148" sqref="O148"/>
    </sheetView>
  </sheetViews>
  <sheetFormatPr defaultColWidth="9.140625" defaultRowHeight="15"/>
  <cols>
    <col min="1" max="1" width="9.140625" style="0" customWidth="1"/>
    <col min="2" max="2" width="43.7109375" style="0" customWidth="1"/>
    <col min="3" max="3" width="16.28125" style="0" customWidth="1"/>
    <col min="4" max="4" width="13.57421875" style="0" customWidth="1"/>
    <col min="5" max="5" width="11.28125" style="0" customWidth="1"/>
    <col min="6" max="6" width="9.00390625" style="0" hidden="1" customWidth="1"/>
    <col min="7" max="7" width="13.421875" style="0" customWidth="1"/>
    <col min="8" max="8" width="13.00390625" style="0" customWidth="1"/>
    <col min="9" max="9" width="13.7109375" style="0" customWidth="1"/>
    <col min="10" max="10" width="9.00390625" style="0" hidden="1" customWidth="1"/>
    <col min="11" max="11" width="4.421875" style="0" hidden="1" customWidth="1"/>
    <col min="12" max="12" width="5.28125" style="0" hidden="1" customWidth="1"/>
    <col min="13" max="14" width="9.140625" style="0" hidden="1" customWidth="1"/>
    <col min="15" max="15" width="14.28125" style="0" customWidth="1"/>
    <col min="16" max="16" width="15.28125" style="0" customWidth="1"/>
    <col min="17" max="20" width="9.00390625" style="0" hidden="1" customWidth="1"/>
    <col min="21" max="21" width="21.7109375" style="0" customWidth="1"/>
    <col min="22" max="22" width="26.28125" style="0" customWidth="1"/>
  </cols>
  <sheetData>
    <row r="1" spans="1:25" ht="14.25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201"/>
      <c r="V1" s="202"/>
      <c r="W1" s="65"/>
      <c r="X1" s="65"/>
      <c r="Y1" s="65"/>
    </row>
    <row r="2" spans="1:25" ht="14.25">
      <c r="A2" s="65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5"/>
      <c r="N2" s="65"/>
      <c r="O2" s="65"/>
      <c r="P2" s="69"/>
      <c r="Q2" s="69"/>
      <c r="R2" s="69"/>
      <c r="S2" s="69"/>
      <c r="T2" s="69"/>
      <c r="U2" s="69"/>
      <c r="V2" s="69"/>
      <c r="W2" s="65"/>
      <c r="X2" s="65"/>
      <c r="Y2" s="65"/>
    </row>
    <row r="3" spans="1:25" ht="14.25" customHeight="1">
      <c r="A3" s="65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5"/>
      <c r="N3" s="65"/>
      <c r="O3" s="65"/>
      <c r="P3" s="203" t="s">
        <v>299</v>
      </c>
      <c r="Q3" s="203"/>
      <c r="R3" s="203"/>
      <c r="S3" s="203"/>
      <c r="T3" s="203"/>
      <c r="U3" s="203"/>
      <c r="V3" s="203"/>
      <c r="W3" s="65"/>
      <c r="X3" s="65"/>
      <c r="Y3" s="65"/>
    </row>
    <row r="4" spans="1:25" ht="14.25">
      <c r="A4" s="65"/>
      <c r="B4" s="71"/>
      <c r="C4" s="71"/>
      <c r="D4" s="71"/>
      <c r="E4" s="71"/>
      <c r="F4" s="71"/>
      <c r="G4" s="71"/>
      <c r="H4" s="71"/>
      <c r="I4" s="71"/>
      <c r="J4" s="71"/>
      <c r="K4" s="69"/>
      <c r="L4" s="69"/>
      <c r="M4" s="65"/>
      <c r="N4" s="65"/>
      <c r="O4" s="65"/>
      <c r="P4" s="203" t="s">
        <v>300</v>
      </c>
      <c r="Q4" s="203"/>
      <c r="R4" s="203"/>
      <c r="S4" s="203"/>
      <c r="T4" s="203"/>
      <c r="U4" s="203"/>
      <c r="V4" s="203"/>
      <c r="W4" s="65"/>
      <c r="X4" s="65"/>
      <c r="Y4" s="65"/>
    </row>
    <row r="5" spans="1:25" ht="14.25">
      <c r="A5" s="68"/>
      <c r="B5" s="73"/>
      <c r="C5" s="73"/>
      <c r="D5" s="73"/>
      <c r="E5" s="74"/>
      <c r="F5" s="73"/>
      <c r="G5" s="73"/>
      <c r="H5" s="73"/>
      <c r="I5" s="73"/>
      <c r="J5" s="75"/>
      <c r="K5" s="69"/>
      <c r="L5" s="69"/>
      <c r="M5" s="68"/>
      <c r="N5" s="68"/>
      <c r="O5" s="68"/>
      <c r="P5" s="68"/>
      <c r="Q5" s="68"/>
      <c r="R5" s="68"/>
      <c r="S5" s="68"/>
      <c r="T5" s="68"/>
      <c r="U5" s="68"/>
      <c r="V5" s="68"/>
      <c r="W5" s="65"/>
      <c r="X5" s="65"/>
      <c r="Y5" s="65"/>
    </row>
    <row r="6" spans="1:25" ht="14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5"/>
      <c r="X6" s="65"/>
      <c r="Y6" s="65"/>
    </row>
    <row r="7" spans="1:25" ht="14.25">
      <c r="A7" s="73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5"/>
      <c r="X7" s="65"/>
      <c r="Y7" s="65"/>
    </row>
    <row r="8" spans="1:25" ht="17.25">
      <c r="A8" s="65"/>
      <c r="B8" s="65"/>
      <c r="C8" s="65"/>
      <c r="D8" s="65"/>
      <c r="E8" s="204" t="s">
        <v>301</v>
      </c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 ht="38.25" customHeight="1">
      <c r="A9" s="77" t="s">
        <v>4</v>
      </c>
      <c r="B9" s="77" t="s">
        <v>39</v>
      </c>
      <c r="C9" s="77" t="s">
        <v>6</v>
      </c>
      <c r="D9" s="77" t="s">
        <v>302</v>
      </c>
      <c r="E9" s="77" t="s">
        <v>303</v>
      </c>
      <c r="F9" s="77"/>
      <c r="G9" s="77"/>
      <c r="H9" s="77"/>
      <c r="I9" s="77"/>
      <c r="J9" s="77"/>
      <c r="K9" s="77"/>
      <c r="L9" s="77"/>
      <c r="M9" s="77"/>
      <c r="N9" s="77"/>
      <c r="O9" s="77"/>
      <c r="P9" s="77" t="s">
        <v>42</v>
      </c>
      <c r="Q9" s="84"/>
      <c r="R9" s="84"/>
      <c r="S9" s="84"/>
      <c r="T9" s="84"/>
      <c r="U9" s="77" t="s">
        <v>304</v>
      </c>
      <c r="V9" s="77" t="s">
        <v>44</v>
      </c>
      <c r="W9" s="65"/>
      <c r="X9" s="65"/>
      <c r="Y9" s="65"/>
    </row>
    <row r="10" spans="1:25" ht="19.5" customHeight="1">
      <c r="A10" s="77"/>
      <c r="B10" s="77"/>
      <c r="C10" s="77"/>
      <c r="D10" s="77"/>
      <c r="E10" s="77" t="s">
        <v>45</v>
      </c>
      <c r="F10" s="77"/>
      <c r="G10" s="77" t="s">
        <v>305</v>
      </c>
      <c r="H10" s="77"/>
      <c r="I10" s="77"/>
      <c r="J10" s="77"/>
      <c r="K10" s="77"/>
      <c r="L10" s="77"/>
      <c r="M10" s="77"/>
      <c r="N10" s="77"/>
      <c r="O10" s="77"/>
      <c r="P10" s="77"/>
      <c r="Q10" s="84"/>
      <c r="R10" s="84"/>
      <c r="S10" s="84"/>
      <c r="T10" s="84"/>
      <c r="U10" s="77"/>
      <c r="V10" s="77"/>
      <c r="W10" s="65"/>
      <c r="X10" s="65"/>
      <c r="Y10" s="65"/>
    </row>
    <row r="11" spans="1:25" ht="30" customHeight="1">
      <c r="A11" s="77"/>
      <c r="B11" s="77"/>
      <c r="C11" s="77"/>
      <c r="D11" s="77"/>
      <c r="E11" s="77"/>
      <c r="F11" s="84" t="s">
        <v>46</v>
      </c>
      <c r="G11" s="77" t="s">
        <v>46</v>
      </c>
      <c r="H11" s="77"/>
      <c r="I11" s="77"/>
      <c r="J11" s="77"/>
      <c r="K11" s="84"/>
      <c r="L11" s="84"/>
      <c r="M11" s="84"/>
      <c r="N11" s="84"/>
      <c r="O11" s="77" t="s">
        <v>47</v>
      </c>
      <c r="P11" s="77"/>
      <c r="Q11" s="84" t="s">
        <v>43</v>
      </c>
      <c r="R11" s="84"/>
      <c r="S11" s="84"/>
      <c r="T11" s="84"/>
      <c r="U11" s="77"/>
      <c r="V11" s="77"/>
      <c r="W11" s="65"/>
      <c r="X11" s="65"/>
      <c r="Y11" s="65"/>
    </row>
    <row r="12" spans="1:25" ht="30" customHeight="1">
      <c r="A12" s="77"/>
      <c r="B12" s="77"/>
      <c r="C12" s="77"/>
      <c r="D12" s="77"/>
      <c r="E12" s="77"/>
      <c r="F12" s="84"/>
      <c r="G12" s="77" t="s">
        <v>15</v>
      </c>
      <c r="H12" s="77" t="s">
        <v>41</v>
      </c>
      <c r="I12" s="77"/>
      <c r="J12" s="77"/>
      <c r="K12" s="84"/>
      <c r="L12" s="84"/>
      <c r="M12" s="84"/>
      <c r="N12" s="84"/>
      <c r="O12" s="77"/>
      <c r="P12" s="77"/>
      <c r="Q12" s="84"/>
      <c r="R12" s="84"/>
      <c r="S12" s="84"/>
      <c r="T12" s="84"/>
      <c r="U12" s="77"/>
      <c r="V12" s="77"/>
      <c r="W12" s="65"/>
      <c r="X12" s="65"/>
      <c r="Y12" s="65"/>
    </row>
    <row r="13" spans="1:25" ht="57" customHeight="1">
      <c r="A13" s="77"/>
      <c r="B13" s="77"/>
      <c r="C13" s="77"/>
      <c r="D13" s="77"/>
      <c r="E13" s="77"/>
      <c r="F13" s="84"/>
      <c r="G13" s="77"/>
      <c r="H13" s="205" t="s">
        <v>17</v>
      </c>
      <c r="I13" s="205" t="s">
        <v>18</v>
      </c>
      <c r="J13" s="84"/>
      <c r="K13" s="84"/>
      <c r="L13" s="84"/>
      <c r="M13" s="84"/>
      <c r="N13" s="84"/>
      <c r="O13" s="77"/>
      <c r="P13" s="77"/>
      <c r="Q13" s="206"/>
      <c r="R13" s="206"/>
      <c r="S13" s="206"/>
      <c r="T13" s="206"/>
      <c r="U13" s="77"/>
      <c r="V13" s="77"/>
      <c r="W13" s="65"/>
      <c r="X13" s="65"/>
      <c r="Y13" s="65"/>
    </row>
    <row r="14" spans="1:25" ht="14.25">
      <c r="A14" s="205">
        <v>1</v>
      </c>
      <c r="B14" s="205">
        <v>2</v>
      </c>
      <c r="C14" s="205">
        <v>3</v>
      </c>
      <c r="D14" s="205">
        <v>4</v>
      </c>
      <c r="E14" s="205">
        <v>5</v>
      </c>
      <c r="F14" s="207">
        <v>6</v>
      </c>
      <c r="G14" s="208">
        <v>6</v>
      </c>
      <c r="H14" s="208">
        <v>7</v>
      </c>
      <c r="I14" s="208">
        <v>8</v>
      </c>
      <c r="J14" s="209"/>
      <c r="K14" s="209"/>
      <c r="L14" s="209"/>
      <c r="M14" s="209"/>
      <c r="N14" s="210"/>
      <c r="O14" s="205">
        <v>9</v>
      </c>
      <c r="P14" s="205">
        <v>10</v>
      </c>
      <c r="Q14" s="205">
        <v>11</v>
      </c>
      <c r="R14" s="205"/>
      <c r="S14" s="205"/>
      <c r="T14" s="205"/>
      <c r="U14" s="205"/>
      <c r="V14" s="205">
        <v>12</v>
      </c>
      <c r="W14" s="65"/>
      <c r="X14" s="65"/>
      <c r="Y14" s="65"/>
    </row>
    <row r="15" spans="1:25" ht="17.25" customHeight="1">
      <c r="A15" s="211" t="s">
        <v>306</v>
      </c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65"/>
      <c r="X15" s="65"/>
      <c r="Y15" s="65"/>
    </row>
    <row r="16" spans="1:25" s="213" customFormat="1" ht="27.75" customHeight="1">
      <c r="A16" s="79" t="s">
        <v>307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212"/>
      <c r="X16" s="212"/>
      <c r="Y16" s="212"/>
    </row>
    <row r="17" spans="1:22" s="65" customFormat="1" ht="25.5" customHeight="1">
      <c r="A17" s="79" t="s">
        <v>308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22" s="65" customFormat="1" ht="26.25" customHeight="1">
      <c r="A18" s="77" t="s">
        <v>24</v>
      </c>
      <c r="B18" s="77" t="s">
        <v>309</v>
      </c>
      <c r="C18" s="77">
        <v>2017</v>
      </c>
      <c r="D18" s="179">
        <f>O18</f>
        <v>25</v>
      </c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>
        <v>25</v>
      </c>
      <c r="P18" s="79"/>
      <c r="Q18" s="79"/>
      <c r="R18" s="79"/>
      <c r="S18" s="79"/>
      <c r="T18" s="79"/>
      <c r="U18" s="214" t="s">
        <v>55</v>
      </c>
      <c r="V18" s="77" t="s">
        <v>310</v>
      </c>
    </row>
    <row r="19" spans="1:22" s="65" customFormat="1" ht="26.25" customHeight="1">
      <c r="A19" s="77"/>
      <c r="B19" s="77"/>
      <c r="C19" s="77">
        <v>2018</v>
      </c>
      <c r="D19" s="179">
        <v>8</v>
      </c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179">
        <f>8</f>
        <v>8</v>
      </c>
      <c r="P19" s="84"/>
      <c r="Q19" s="84"/>
      <c r="R19" s="84" t="s">
        <v>311</v>
      </c>
      <c r="S19" s="84"/>
      <c r="T19" s="84"/>
      <c r="U19" s="214"/>
      <c r="V19" s="77"/>
    </row>
    <row r="20" spans="1:22" s="65" customFormat="1" ht="14.25">
      <c r="A20" s="77"/>
      <c r="B20" s="77"/>
      <c r="C20" s="77">
        <v>2019</v>
      </c>
      <c r="D20" s="179">
        <f aca="true" t="shared" si="0" ref="D20:D28">O20</f>
        <v>13.5</v>
      </c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179">
        <f>10.5+3</f>
        <v>13.5</v>
      </c>
      <c r="P20" s="84"/>
      <c r="Q20" s="84"/>
      <c r="R20" s="206"/>
      <c r="S20" s="206"/>
      <c r="T20" s="206"/>
      <c r="U20" s="214"/>
      <c r="V20" s="77"/>
    </row>
    <row r="21" spans="1:22" s="65" customFormat="1" ht="14.25" customHeight="1">
      <c r="A21" s="77"/>
      <c r="B21" s="77"/>
      <c r="C21" s="77">
        <v>2020</v>
      </c>
      <c r="D21" s="179">
        <f t="shared" si="0"/>
        <v>4</v>
      </c>
      <c r="E21" s="215"/>
      <c r="F21" s="215"/>
      <c r="G21" s="215"/>
      <c r="H21" s="215"/>
      <c r="I21" s="215"/>
      <c r="J21" s="216"/>
      <c r="K21" s="216"/>
      <c r="L21" s="216"/>
      <c r="M21" s="216"/>
      <c r="N21" s="216"/>
      <c r="O21" s="179">
        <v>4</v>
      </c>
      <c r="P21" s="84"/>
      <c r="Q21" s="84"/>
      <c r="R21" s="206"/>
      <c r="S21" s="206"/>
      <c r="T21" s="206"/>
      <c r="U21" s="214"/>
      <c r="V21" s="77"/>
    </row>
    <row r="22" spans="1:22" s="65" customFormat="1" ht="14.25">
      <c r="A22" s="77"/>
      <c r="B22" s="77"/>
      <c r="C22" s="77">
        <v>2021</v>
      </c>
      <c r="D22" s="179">
        <f t="shared" si="0"/>
        <v>16</v>
      </c>
      <c r="E22" s="215"/>
      <c r="F22" s="215"/>
      <c r="G22" s="215"/>
      <c r="H22" s="215"/>
      <c r="I22" s="215"/>
      <c r="J22" s="216"/>
      <c r="K22" s="216"/>
      <c r="L22" s="216"/>
      <c r="M22" s="216"/>
      <c r="N22" s="216"/>
      <c r="O22" s="179">
        <v>16</v>
      </c>
      <c r="P22" s="84"/>
      <c r="Q22" s="84"/>
      <c r="R22" s="206"/>
      <c r="S22" s="206"/>
      <c r="T22" s="206"/>
      <c r="U22" s="214"/>
      <c r="V22" s="77"/>
    </row>
    <row r="23" spans="1:22" s="65" customFormat="1" ht="14.25">
      <c r="A23" s="77"/>
      <c r="B23" s="77"/>
      <c r="C23" s="77">
        <v>2022</v>
      </c>
      <c r="D23" s="179">
        <f t="shared" si="0"/>
        <v>35</v>
      </c>
      <c r="E23" s="215"/>
      <c r="F23" s="215"/>
      <c r="G23" s="215"/>
      <c r="H23" s="215"/>
      <c r="I23" s="215"/>
      <c r="J23" s="216"/>
      <c r="K23" s="216"/>
      <c r="L23" s="216"/>
      <c r="M23" s="216"/>
      <c r="N23" s="216"/>
      <c r="O23" s="179">
        <v>35</v>
      </c>
      <c r="P23" s="84"/>
      <c r="Q23" s="84"/>
      <c r="R23" s="206"/>
      <c r="S23" s="206"/>
      <c r="T23" s="206"/>
      <c r="U23" s="214"/>
      <c r="V23" s="77"/>
    </row>
    <row r="24" spans="1:22" s="65" customFormat="1" ht="14.25">
      <c r="A24" s="77"/>
      <c r="B24" s="77"/>
      <c r="C24" s="217">
        <v>2023</v>
      </c>
      <c r="D24" s="218">
        <f t="shared" si="0"/>
        <v>25</v>
      </c>
      <c r="E24" s="219"/>
      <c r="F24" s="219"/>
      <c r="G24" s="219"/>
      <c r="H24" s="219"/>
      <c r="I24" s="219"/>
      <c r="J24" s="220"/>
      <c r="K24" s="220"/>
      <c r="L24" s="220"/>
      <c r="M24" s="220"/>
      <c r="N24" s="220"/>
      <c r="O24" s="218">
        <f>15+10</f>
        <v>25</v>
      </c>
      <c r="P24" s="84"/>
      <c r="Q24" s="84"/>
      <c r="R24" s="206"/>
      <c r="S24" s="221"/>
      <c r="T24" s="222"/>
      <c r="U24" s="214"/>
      <c r="V24" s="77"/>
    </row>
    <row r="25" spans="1:22" s="65" customFormat="1" ht="14.25">
      <c r="A25" s="77"/>
      <c r="B25" s="77"/>
      <c r="C25" s="77">
        <v>2024</v>
      </c>
      <c r="D25" s="179">
        <f t="shared" si="0"/>
        <v>5</v>
      </c>
      <c r="E25" s="215"/>
      <c r="F25" s="215"/>
      <c r="G25" s="215"/>
      <c r="H25" s="215"/>
      <c r="I25" s="215"/>
      <c r="J25" s="216"/>
      <c r="K25" s="216"/>
      <c r="L25" s="216"/>
      <c r="M25" s="216"/>
      <c r="N25" s="216"/>
      <c r="O25" s="179">
        <v>5</v>
      </c>
      <c r="P25" s="84"/>
      <c r="Q25" s="84"/>
      <c r="R25" s="206"/>
      <c r="S25" s="221"/>
      <c r="T25" s="222"/>
      <c r="U25" s="214"/>
      <c r="V25" s="77"/>
    </row>
    <row r="26" spans="1:22" s="65" customFormat="1" ht="14.25">
      <c r="A26" s="77"/>
      <c r="B26" s="77"/>
      <c r="C26" s="77">
        <v>2025</v>
      </c>
      <c r="D26" s="179">
        <f t="shared" si="0"/>
        <v>5</v>
      </c>
      <c r="E26" s="215"/>
      <c r="F26" s="215"/>
      <c r="G26" s="215"/>
      <c r="H26" s="215"/>
      <c r="I26" s="215"/>
      <c r="J26" s="216"/>
      <c r="K26" s="216"/>
      <c r="L26" s="216"/>
      <c r="M26" s="216"/>
      <c r="N26" s="216"/>
      <c r="O26" s="179">
        <v>5</v>
      </c>
      <c r="P26" s="84"/>
      <c r="Q26" s="84"/>
      <c r="R26" s="206"/>
      <c r="S26" s="221"/>
      <c r="T26" s="222"/>
      <c r="U26" s="214"/>
      <c r="V26" s="77"/>
    </row>
    <row r="27" spans="1:22" s="65" customFormat="1" ht="14.25" customHeight="1">
      <c r="A27" s="223" t="s">
        <v>27</v>
      </c>
      <c r="B27" s="77" t="s">
        <v>312</v>
      </c>
      <c r="C27" s="77">
        <v>2017</v>
      </c>
      <c r="D27" s="179">
        <f t="shared" si="0"/>
        <v>120</v>
      </c>
      <c r="E27" s="215"/>
      <c r="F27" s="215"/>
      <c r="G27" s="215"/>
      <c r="H27" s="215"/>
      <c r="I27" s="215"/>
      <c r="J27" s="216"/>
      <c r="K27" s="216"/>
      <c r="L27" s="216"/>
      <c r="M27" s="216"/>
      <c r="N27" s="216"/>
      <c r="O27" s="179">
        <v>120</v>
      </c>
      <c r="P27" s="84"/>
      <c r="Q27" s="84"/>
      <c r="R27" s="206"/>
      <c r="S27" s="77" t="s">
        <v>55</v>
      </c>
      <c r="T27" s="77"/>
      <c r="U27" s="77"/>
      <c r="V27" s="77" t="s">
        <v>313</v>
      </c>
    </row>
    <row r="28" spans="1:22" s="65" customFormat="1" ht="24" customHeight="1">
      <c r="A28" s="223"/>
      <c r="B28" s="77"/>
      <c r="C28" s="77">
        <v>2018</v>
      </c>
      <c r="D28" s="179">
        <f t="shared" si="0"/>
        <v>15.052</v>
      </c>
      <c r="E28" s="215"/>
      <c r="F28" s="215"/>
      <c r="G28" s="215"/>
      <c r="H28" s="215"/>
      <c r="I28" s="215"/>
      <c r="J28" s="215"/>
      <c r="K28" s="224"/>
      <c r="L28" s="224"/>
      <c r="M28" s="224"/>
      <c r="N28" s="224"/>
      <c r="O28" s="179">
        <v>15.052</v>
      </c>
      <c r="P28" s="77"/>
      <c r="Q28" s="84"/>
      <c r="R28" s="84"/>
      <c r="S28" s="77"/>
      <c r="T28" s="77"/>
      <c r="U28" s="77"/>
      <c r="V28" s="77"/>
    </row>
    <row r="29" spans="1:22" s="65" customFormat="1" ht="25.5" customHeight="1" hidden="1">
      <c r="A29" s="223"/>
      <c r="B29" s="77"/>
      <c r="C29" s="77"/>
      <c r="D29" s="179"/>
      <c r="E29" s="215"/>
      <c r="F29" s="215"/>
      <c r="G29" s="215"/>
      <c r="H29" s="215"/>
      <c r="I29" s="215"/>
      <c r="J29" s="215"/>
      <c r="K29" s="224"/>
      <c r="L29" s="224"/>
      <c r="M29" s="224"/>
      <c r="N29" s="224"/>
      <c r="O29" s="179"/>
      <c r="P29" s="77"/>
      <c r="Q29" s="84"/>
      <c r="R29" s="84"/>
      <c r="S29" s="77"/>
      <c r="T29" s="77"/>
      <c r="U29" s="77"/>
      <c r="V29" s="77"/>
    </row>
    <row r="30" spans="1:22" s="65" customFormat="1" ht="14.25">
      <c r="A30" s="223"/>
      <c r="B30" s="77"/>
      <c r="C30" s="77">
        <v>2019</v>
      </c>
      <c r="D30" s="179">
        <f aca="true" t="shared" si="1" ref="D30:D55">O30</f>
        <v>62.5</v>
      </c>
      <c r="E30" s="215"/>
      <c r="F30" s="215"/>
      <c r="G30" s="215"/>
      <c r="H30" s="215"/>
      <c r="I30" s="215"/>
      <c r="J30" s="215"/>
      <c r="K30" s="224"/>
      <c r="L30" s="224"/>
      <c r="M30" s="224"/>
      <c r="N30" s="224"/>
      <c r="O30" s="179">
        <v>62.5</v>
      </c>
      <c r="P30" s="84"/>
      <c r="Q30" s="84"/>
      <c r="R30" s="84"/>
      <c r="S30" s="77"/>
      <c r="T30" s="77"/>
      <c r="U30" s="77"/>
      <c r="V30" s="77"/>
    </row>
    <row r="31" spans="1:22" s="65" customFormat="1" ht="18" customHeight="1">
      <c r="A31" s="223"/>
      <c r="B31" s="77"/>
      <c r="C31" s="77">
        <v>2020</v>
      </c>
      <c r="D31" s="179">
        <f t="shared" si="1"/>
        <v>15</v>
      </c>
      <c r="E31" s="215"/>
      <c r="F31" s="215"/>
      <c r="G31" s="215"/>
      <c r="H31" s="215"/>
      <c r="I31" s="215"/>
      <c r="J31" s="215"/>
      <c r="K31" s="224"/>
      <c r="L31" s="224"/>
      <c r="M31" s="224"/>
      <c r="N31" s="224"/>
      <c r="O31" s="179">
        <v>15</v>
      </c>
      <c r="P31" s="84"/>
      <c r="Q31" s="84"/>
      <c r="R31" s="84"/>
      <c r="S31" s="77"/>
      <c r="T31" s="77"/>
      <c r="U31" s="77"/>
      <c r="V31" s="77"/>
    </row>
    <row r="32" spans="1:22" s="65" customFormat="1" ht="15.75" customHeight="1">
      <c r="A32" s="223"/>
      <c r="B32" s="77"/>
      <c r="C32" s="77">
        <v>2021</v>
      </c>
      <c r="D32" s="179">
        <f t="shared" si="1"/>
        <v>100.5</v>
      </c>
      <c r="E32" s="215"/>
      <c r="F32" s="215"/>
      <c r="G32" s="215"/>
      <c r="H32" s="215"/>
      <c r="I32" s="215"/>
      <c r="J32" s="215"/>
      <c r="K32" s="224"/>
      <c r="L32" s="224"/>
      <c r="M32" s="224"/>
      <c r="N32" s="224"/>
      <c r="O32" s="179">
        <v>100.5</v>
      </c>
      <c r="P32" s="84"/>
      <c r="Q32" s="84"/>
      <c r="R32" s="84"/>
      <c r="S32" s="77"/>
      <c r="T32" s="77"/>
      <c r="U32" s="77"/>
      <c r="V32" s="77"/>
    </row>
    <row r="33" spans="1:22" s="65" customFormat="1" ht="15.75" customHeight="1">
      <c r="A33" s="223"/>
      <c r="B33" s="77"/>
      <c r="C33" s="77">
        <v>2022</v>
      </c>
      <c r="D33" s="179">
        <f t="shared" si="1"/>
        <v>70</v>
      </c>
      <c r="E33" s="215"/>
      <c r="F33" s="215"/>
      <c r="G33" s="215"/>
      <c r="H33" s="215"/>
      <c r="I33" s="215"/>
      <c r="J33" s="215"/>
      <c r="K33" s="224"/>
      <c r="L33" s="224"/>
      <c r="M33" s="224"/>
      <c r="N33" s="224"/>
      <c r="O33" s="179">
        <v>70</v>
      </c>
      <c r="P33" s="84"/>
      <c r="Q33" s="84"/>
      <c r="R33" s="84"/>
      <c r="S33" s="77"/>
      <c r="T33" s="77"/>
      <c r="U33" s="77"/>
      <c r="V33" s="77"/>
    </row>
    <row r="34" spans="1:22" s="65" customFormat="1" ht="15.75" customHeight="1">
      <c r="A34" s="223"/>
      <c r="B34" s="77"/>
      <c r="C34" s="217">
        <v>2023</v>
      </c>
      <c r="D34" s="218">
        <f t="shared" si="1"/>
        <v>80</v>
      </c>
      <c r="E34" s="219"/>
      <c r="F34" s="219"/>
      <c r="G34" s="219"/>
      <c r="H34" s="219"/>
      <c r="I34" s="219"/>
      <c r="J34" s="219"/>
      <c r="K34" s="225"/>
      <c r="L34" s="225"/>
      <c r="M34" s="225"/>
      <c r="N34" s="225"/>
      <c r="O34" s="218">
        <f>30+50</f>
        <v>80</v>
      </c>
      <c r="P34" s="84"/>
      <c r="Q34" s="84"/>
      <c r="R34" s="84"/>
      <c r="S34" s="77"/>
      <c r="T34" s="77"/>
      <c r="U34" s="77"/>
      <c r="V34" s="77"/>
    </row>
    <row r="35" spans="1:22" s="65" customFormat="1" ht="15.75" customHeight="1">
      <c r="A35" s="223"/>
      <c r="B35" s="77"/>
      <c r="C35" s="77">
        <v>2024</v>
      </c>
      <c r="D35" s="179">
        <f t="shared" si="1"/>
        <v>5</v>
      </c>
      <c r="E35" s="215"/>
      <c r="F35" s="215"/>
      <c r="G35" s="215"/>
      <c r="H35" s="215"/>
      <c r="I35" s="215"/>
      <c r="J35" s="215"/>
      <c r="K35" s="224"/>
      <c r="L35" s="224"/>
      <c r="M35" s="224"/>
      <c r="N35" s="224"/>
      <c r="O35" s="179">
        <v>5</v>
      </c>
      <c r="P35" s="84"/>
      <c r="Q35" s="84"/>
      <c r="R35" s="84"/>
      <c r="S35" s="77"/>
      <c r="T35" s="77"/>
      <c r="U35" s="77"/>
      <c r="V35" s="77"/>
    </row>
    <row r="36" spans="1:22" s="65" customFormat="1" ht="15.75" customHeight="1">
      <c r="A36" s="223"/>
      <c r="B36" s="77"/>
      <c r="C36" s="77">
        <v>2025</v>
      </c>
      <c r="D36" s="179">
        <f t="shared" si="1"/>
        <v>5</v>
      </c>
      <c r="E36" s="215"/>
      <c r="F36" s="215"/>
      <c r="G36" s="215"/>
      <c r="H36" s="215"/>
      <c r="I36" s="215"/>
      <c r="J36" s="215"/>
      <c r="K36" s="224"/>
      <c r="L36" s="224"/>
      <c r="M36" s="224"/>
      <c r="N36" s="224"/>
      <c r="O36" s="179">
        <v>5</v>
      </c>
      <c r="P36" s="84"/>
      <c r="Q36" s="84"/>
      <c r="R36" s="84"/>
      <c r="S36" s="77"/>
      <c r="T36" s="77"/>
      <c r="U36" s="77"/>
      <c r="V36" s="77"/>
    </row>
    <row r="37" spans="1:22" s="65" customFormat="1" ht="21" customHeight="1">
      <c r="A37" s="77" t="s">
        <v>30</v>
      </c>
      <c r="B37" s="77" t="s">
        <v>314</v>
      </c>
      <c r="C37" s="77">
        <v>2017</v>
      </c>
      <c r="D37" s="179">
        <f t="shared" si="1"/>
        <v>40</v>
      </c>
      <c r="E37" s="179"/>
      <c r="F37" s="179"/>
      <c r="G37" s="179"/>
      <c r="H37" s="179"/>
      <c r="I37" s="179"/>
      <c r="J37" s="179"/>
      <c r="K37" s="224"/>
      <c r="L37" s="224"/>
      <c r="M37" s="224"/>
      <c r="N37" s="224"/>
      <c r="O37" s="179">
        <v>40</v>
      </c>
      <c r="P37" s="84"/>
      <c r="Q37" s="84"/>
      <c r="R37" s="84"/>
      <c r="S37" s="77"/>
      <c r="T37" s="77" t="s">
        <v>55</v>
      </c>
      <c r="U37" s="77"/>
      <c r="V37" s="77" t="s">
        <v>315</v>
      </c>
    </row>
    <row r="38" spans="1:22" s="65" customFormat="1" ht="14.25" customHeight="1">
      <c r="A38" s="77"/>
      <c r="B38" s="77"/>
      <c r="C38" s="77">
        <v>2018</v>
      </c>
      <c r="D38" s="226">
        <f t="shared" si="1"/>
        <v>180.648</v>
      </c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6">
        <f>180.648</f>
        <v>180.648</v>
      </c>
      <c r="P38" s="84"/>
      <c r="Q38" s="84"/>
      <c r="R38" s="84"/>
      <c r="S38" s="84"/>
      <c r="T38" s="77"/>
      <c r="U38" s="77"/>
      <c r="V38" s="77"/>
    </row>
    <row r="39" spans="1:22" s="65" customFormat="1" ht="21" customHeight="1">
      <c r="A39" s="77"/>
      <c r="B39" s="77"/>
      <c r="C39" s="228">
        <v>2019</v>
      </c>
      <c r="D39" s="226">
        <f t="shared" si="1"/>
        <v>157.535</v>
      </c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6">
        <f>160.436-2.901</f>
        <v>157.535</v>
      </c>
      <c r="P39" s="84"/>
      <c r="Q39" s="84"/>
      <c r="R39" s="84"/>
      <c r="S39" s="84"/>
      <c r="T39" s="77"/>
      <c r="U39" s="77"/>
      <c r="V39" s="77"/>
    </row>
    <row r="40" spans="1:22" s="65" customFormat="1" ht="24" customHeight="1">
      <c r="A40" s="77"/>
      <c r="B40" s="77"/>
      <c r="C40" s="228">
        <v>2020</v>
      </c>
      <c r="D40" s="226">
        <f t="shared" si="1"/>
        <v>110.7</v>
      </c>
      <c r="E40" s="227"/>
      <c r="F40" s="227"/>
      <c r="G40" s="227"/>
      <c r="H40" s="227"/>
      <c r="I40" s="227"/>
      <c r="J40" s="227"/>
      <c r="K40" s="229"/>
      <c r="L40" s="229"/>
      <c r="M40" s="229"/>
      <c r="N40" s="229"/>
      <c r="O40" s="226">
        <v>110.7</v>
      </c>
      <c r="P40" s="84"/>
      <c r="Q40" s="84"/>
      <c r="R40" s="84"/>
      <c r="S40" s="84"/>
      <c r="T40" s="77"/>
      <c r="U40" s="77"/>
      <c r="V40" s="77"/>
    </row>
    <row r="41" spans="1:22" s="65" customFormat="1" ht="20.25" customHeight="1">
      <c r="A41" s="77"/>
      <c r="B41" s="77"/>
      <c r="C41" s="228">
        <v>2021</v>
      </c>
      <c r="D41" s="226">
        <f t="shared" si="1"/>
        <v>98.0202</v>
      </c>
      <c r="E41" s="227"/>
      <c r="F41" s="227"/>
      <c r="G41" s="227"/>
      <c r="H41" s="227"/>
      <c r="I41" s="227"/>
      <c r="J41" s="227"/>
      <c r="K41" s="229"/>
      <c r="L41" s="229"/>
      <c r="M41" s="229"/>
      <c r="N41" s="229"/>
      <c r="O41" s="226">
        <v>98.0202</v>
      </c>
      <c r="P41" s="84"/>
      <c r="Q41" s="84"/>
      <c r="R41" s="84"/>
      <c r="S41" s="84"/>
      <c r="T41" s="77"/>
      <c r="U41" s="77"/>
      <c r="V41" s="77"/>
    </row>
    <row r="42" spans="1:22" s="65" customFormat="1" ht="20.25" customHeight="1">
      <c r="A42" s="77"/>
      <c r="B42" s="77"/>
      <c r="C42" s="228">
        <v>2022</v>
      </c>
      <c r="D42" s="226">
        <f t="shared" si="1"/>
        <v>115</v>
      </c>
      <c r="E42" s="227"/>
      <c r="F42" s="227"/>
      <c r="G42" s="227"/>
      <c r="H42" s="227"/>
      <c r="I42" s="227"/>
      <c r="J42" s="227"/>
      <c r="K42" s="229"/>
      <c r="L42" s="229"/>
      <c r="M42" s="229"/>
      <c r="N42" s="229"/>
      <c r="O42" s="226">
        <v>115</v>
      </c>
      <c r="P42" s="84"/>
      <c r="Q42" s="84"/>
      <c r="R42" s="84"/>
      <c r="S42" s="84"/>
      <c r="T42" s="77"/>
      <c r="U42" s="77"/>
      <c r="V42" s="77"/>
    </row>
    <row r="43" spans="1:22" s="65" customFormat="1" ht="20.25" customHeight="1">
      <c r="A43" s="77"/>
      <c r="B43" s="77"/>
      <c r="C43" s="230">
        <v>2023</v>
      </c>
      <c r="D43" s="231">
        <f t="shared" si="1"/>
        <v>177.753</v>
      </c>
      <c r="E43" s="232"/>
      <c r="F43" s="232"/>
      <c r="G43" s="232"/>
      <c r="H43" s="232"/>
      <c r="I43" s="232"/>
      <c r="J43" s="232"/>
      <c r="K43" s="233"/>
      <c r="L43" s="233"/>
      <c r="M43" s="233"/>
      <c r="N43" s="233"/>
      <c r="O43" s="231">
        <f>57.5+92.5+27.753</f>
        <v>177.753</v>
      </c>
      <c r="P43" s="84"/>
      <c r="Q43" s="84"/>
      <c r="R43" s="84"/>
      <c r="S43" s="84"/>
      <c r="T43" s="77"/>
      <c r="U43" s="77"/>
      <c r="V43" s="77"/>
    </row>
    <row r="44" spans="1:22" s="65" customFormat="1" ht="20.25" customHeight="1">
      <c r="A44" s="77"/>
      <c r="B44" s="77"/>
      <c r="C44" s="228">
        <v>2024</v>
      </c>
      <c r="D44" s="226">
        <f t="shared" si="1"/>
        <v>10</v>
      </c>
      <c r="E44" s="227"/>
      <c r="F44" s="227"/>
      <c r="G44" s="227"/>
      <c r="H44" s="227"/>
      <c r="I44" s="227"/>
      <c r="J44" s="227"/>
      <c r="K44" s="229"/>
      <c r="L44" s="229"/>
      <c r="M44" s="229"/>
      <c r="N44" s="229"/>
      <c r="O44" s="226">
        <v>10</v>
      </c>
      <c r="P44" s="84"/>
      <c r="Q44" s="84"/>
      <c r="R44" s="84"/>
      <c r="S44" s="84"/>
      <c r="T44" s="77"/>
      <c r="U44" s="77"/>
      <c r="V44" s="77"/>
    </row>
    <row r="45" spans="1:22" s="65" customFormat="1" ht="20.25" customHeight="1">
      <c r="A45" s="77"/>
      <c r="B45" s="77"/>
      <c r="C45" s="228">
        <v>2025</v>
      </c>
      <c r="D45" s="226">
        <f t="shared" si="1"/>
        <v>10</v>
      </c>
      <c r="E45" s="227"/>
      <c r="F45" s="227"/>
      <c r="G45" s="227"/>
      <c r="H45" s="227"/>
      <c r="I45" s="227"/>
      <c r="J45" s="227"/>
      <c r="K45" s="229"/>
      <c r="L45" s="229"/>
      <c r="M45" s="229"/>
      <c r="N45" s="229"/>
      <c r="O45" s="226">
        <v>10</v>
      </c>
      <c r="P45" s="84"/>
      <c r="Q45" s="84"/>
      <c r="R45" s="84"/>
      <c r="S45" s="84"/>
      <c r="T45" s="77"/>
      <c r="U45" s="77"/>
      <c r="V45" s="77"/>
    </row>
    <row r="46" spans="1:22" s="65" customFormat="1" ht="24" customHeight="1">
      <c r="A46" s="77" t="s">
        <v>32</v>
      </c>
      <c r="B46" s="80" t="s">
        <v>316</v>
      </c>
      <c r="C46" s="228">
        <v>2017</v>
      </c>
      <c r="D46" s="226">
        <f t="shared" si="1"/>
        <v>163.5</v>
      </c>
      <c r="E46" s="227"/>
      <c r="F46" s="227"/>
      <c r="G46" s="227"/>
      <c r="H46" s="227"/>
      <c r="I46" s="227"/>
      <c r="J46" s="227"/>
      <c r="K46" s="229"/>
      <c r="L46" s="229"/>
      <c r="M46" s="229"/>
      <c r="N46" s="229"/>
      <c r="O46" s="226">
        <v>163.5</v>
      </c>
      <c r="P46" s="84"/>
      <c r="Q46" s="84"/>
      <c r="R46" s="84"/>
      <c r="S46" s="84"/>
      <c r="T46" s="77"/>
      <c r="U46" s="77" t="s">
        <v>55</v>
      </c>
      <c r="V46" s="77" t="s">
        <v>317</v>
      </c>
    </row>
    <row r="47" spans="1:22" s="65" customFormat="1" ht="28.5" customHeight="1">
      <c r="A47" s="77"/>
      <c r="B47" s="80"/>
      <c r="C47" s="77">
        <v>2018</v>
      </c>
      <c r="D47" s="179">
        <f t="shared" si="1"/>
        <v>144.8</v>
      </c>
      <c r="E47" s="215"/>
      <c r="F47" s="215"/>
      <c r="G47" s="215"/>
      <c r="H47" s="215"/>
      <c r="I47" s="215"/>
      <c r="J47" s="215"/>
      <c r="K47" s="179"/>
      <c r="L47" s="179"/>
      <c r="M47" s="179"/>
      <c r="N47" s="179"/>
      <c r="O47" s="179">
        <f>144.8</f>
        <v>144.8</v>
      </c>
      <c r="P47" s="84"/>
      <c r="Q47" s="84"/>
      <c r="R47" s="84"/>
      <c r="S47" s="84"/>
      <c r="T47" s="84"/>
      <c r="U47" s="77"/>
      <c r="V47" s="77"/>
    </row>
    <row r="48" spans="1:22" s="65" customFormat="1" ht="14.25" customHeight="1">
      <c r="A48" s="77"/>
      <c r="B48" s="80"/>
      <c r="C48" s="77">
        <v>2019</v>
      </c>
      <c r="D48" s="179">
        <f t="shared" si="1"/>
        <v>166.465</v>
      </c>
      <c r="E48" s="215"/>
      <c r="F48" s="215"/>
      <c r="G48" s="215"/>
      <c r="H48" s="215"/>
      <c r="I48" s="215"/>
      <c r="J48" s="215"/>
      <c r="K48" s="179"/>
      <c r="L48" s="179"/>
      <c r="M48" s="179"/>
      <c r="N48" s="179"/>
      <c r="O48" s="179">
        <v>166.465</v>
      </c>
      <c r="P48" s="84"/>
      <c r="Q48" s="84"/>
      <c r="R48" s="84"/>
      <c r="S48" s="84"/>
      <c r="T48" s="84"/>
      <c r="U48" s="77"/>
      <c r="V48" s="77"/>
    </row>
    <row r="49" spans="1:22" s="65" customFormat="1" ht="18.75" customHeight="1">
      <c r="A49" s="77"/>
      <c r="B49" s="80"/>
      <c r="C49" s="77">
        <v>2020</v>
      </c>
      <c r="D49" s="179">
        <f t="shared" si="1"/>
        <v>269.4825</v>
      </c>
      <c r="E49" s="215"/>
      <c r="F49" s="215"/>
      <c r="G49" s="215"/>
      <c r="H49" s="215"/>
      <c r="I49" s="215"/>
      <c r="J49" s="215"/>
      <c r="K49" s="179"/>
      <c r="L49" s="179"/>
      <c r="M49" s="179"/>
      <c r="N49" s="179"/>
      <c r="O49" s="179">
        <f>270.3-0.05-0.7675</f>
        <v>269.4825</v>
      </c>
      <c r="P49" s="84"/>
      <c r="Q49" s="84"/>
      <c r="R49" s="84"/>
      <c r="S49" s="84"/>
      <c r="T49" s="84"/>
      <c r="U49" s="77"/>
      <c r="V49" s="77"/>
    </row>
    <row r="50" spans="1:22" s="65" customFormat="1" ht="18.75" customHeight="1">
      <c r="A50" s="77"/>
      <c r="B50" s="80"/>
      <c r="C50" s="77">
        <v>2021</v>
      </c>
      <c r="D50" s="179">
        <f t="shared" si="1"/>
        <v>185.4798</v>
      </c>
      <c r="E50" s="215"/>
      <c r="F50" s="215"/>
      <c r="G50" s="215"/>
      <c r="H50" s="215"/>
      <c r="I50" s="215"/>
      <c r="J50" s="215"/>
      <c r="K50" s="179"/>
      <c r="L50" s="179"/>
      <c r="M50" s="179"/>
      <c r="N50" s="179"/>
      <c r="O50" s="179">
        <v>185.4798</v>
      </c>
      <c r="P50" s="84"/>
      <c r="Q50" s="84"/>
      <c r="R50" s="84"/>
      <c r="S50" s="84"/>
      <c r="T50" s="84"/>
      <c r="U50" s="77"/>
      <c r="V50" s="77"/>
    </row>
    <row r="51" spans="1:22" s="65" customFormat="1" ht="18.75" customHeight="1">
      <c r="A51" s="77"/>
      <c r="B51" s="80"/>
      <c r="C51" s="77">
        <v>2022</v>
      </c>
      <c r="D51" s="179">
        <f t="shared" si="1"/>
        <v>150</v>
      </c>
      <c r="E51" s="215"/>
      <c r="F51" s="215"/>
      <c r="G51" s="215"/>
      <c r="H51" s="215"/>
      <c r="I51" s="215"/>
      <c r="J51" s="215"/>
      <c r="K51" s="179"/>
      <c r="L51" s="179"/>
      <c r="M51" s="179"/>
      <c r="N51" s="179"/>
      <c r="O51" s="179">
        <v>150</v>
      </c>
      <c r="P51" s="84"/>
      <c r="Q51" s="84"/>
      <c r="R51" s="84"/>
      <c r="S51" s="84"/>
      <c r="T51" s="84"/>
      <c r="U51" s="77"/>
      <c r="V51" s="77"/>
    </row>
    <row r="52" spans="1:22" s="65" customFormat="1" ht="18.75" customHeight="1">
      <c r="A52" s="77"/>
      <c r="B52" s="80"/>
      <c r="C52" s="217">
        <v>2023</v>
      </c>
      <c r="D52" s="218">
        <f t="shared" si="1"/>
        <v>180</v>
      </c>
      <c r="E52" s="219"/>
      <c r="F52" s="219"/>
      <c r="G52" s="219"/>
      <c r="H52" s="219"/>
      <c r="I52" s="219"/>
      <c r="J52" s="219"/>
      <c r="K52" s="218"/>
      <c r="L52" s="218"/>
      <c r="M52" s="218"/>
      <c r="N52" s="218"/>
      <c r="O52" s="218">
        <f>82.5+97.5</f>
        <v>180</v>
      </c>
      <c r="P52" s="84"/>
      <c r="Q52" s="84"/>
      <c r="R52" s="84"/>
      <c r="S52" s="84"/>
      <c r="T52" s="84"/>
      <c r="U52" s="77"/>
      <c r="V52" s="77"/>
    </row>
    <row r="53" spans="1:22" s="65" customFormat="1" ht="18.75" customHeight="1">
      <c r="A53" s="77"/>
      <c r="B53" s="80"/>
      <c r="C53" s="81">
        <v>2024</v>
      </c>
      <c r="D53" s="179">
        <f t="shared" si="1"/>
        <v>20</v>
      </c>
      <c r="E53" s="215"/>
      <c r="F53" s="215"/>
      <c r="G53" s="215"/>
      <c r="H53" s="215"/>
      <c r="I53" s="215"/>
      <c r="J53" s="215"/>
      <c r="K53" s="179"/>
      <c r="L53" s="179"/>
      <c r="M53" s="179"/>
      <c r="N53" s="179"/>
      <c r="O53" s="179">
        <v>20</v>
      </c>
      <c r="P53" s="84"/>
      <c r="Q53" s="84"/>
      <c r="R53" s="84"/>
      <c r="S53" s="84"/>
      <c r="T53" s="84"/>
      <c r="U53" s="77"/>
      <c r="V53" s="77"/>
    </row>
    <row r="54" spans="1:22" s="65" customFormat="1" ht="18.75" customHeight="1">
      <c r="A54" s="77"/>
      <c r="B54" s="80"/>
      <c r="C54" s="81">
        <v>2025</v>
      </c>
      <c r="D54" s="179">
        <f t="shared" si="1"/>
        <v>20</v>
      </c>
      <c r="E54" s="215"/>
      <c r="F54" s="215"/>
      <c r="G54" s="215"/>
      <c r="H54" s="215"/>
      <c r="I54" s="215"/>
      <c r="J54" s="215"/>
      <c r="K54" s="179"/>
      <c r="L54" s="179"/>
      <c r="M54" s="179"/>
      <c r="N54" s="179"/>
      <c r="O54" s="179">
        <v>20</v>
      </c>
      <c r="P54" s="84"/>
      <c r="Q54" s="84"/>
      <c r="R54" s="84"/>
      <c r="S54" s="84"/>
      <c r="T54" s="84"/>
      <c r="U54" s="77"/>
      <c r="V54" s="77"/>
    </row>
    <row r="55" spans="1:22" s="65" customFormat="1" ht="18.75" customHeight="1">
      <c r="A55" s="77" t="s">
        <v>63</v>
      </c>
      <c r="B55" s="77" t="s">
        <v>318</v>
      </c>
      <c r="C55" s="77">
        <v>2017</v>
      </c>
      <c r="D55" s="179">
        <f t="shared" si="1"/>
        <v>10</v>
      </c>
      <c r="E55" s="215"/>
      <c r="F55" s="215"/>
      <c r="G55" s="215"/>
      <c r="H55" s="215"/>
      <c r="I55" s="215"/>
      <c r="J55" s="215"/>
      <c r="K55" s="179"/>
      <c r="L55" s="179"/>
      <c r="M55" s="179"/>
      <c r="N55" s="179"/>
      <c r="O55" s="179">
        <v>10</v>
      </c>
      <c r="P55" s="84"/>
      <c r="Q55" s="84"/>
      <c r="R55" s="84"/>
      <c r="S55" s="84"/>
      <c r="T55" s="84"/>
      <c r="U55" s="77" t="s">
        <v>55</v>
      </c>
      <c r="V55" s="77" t="s">
        <v>319</v>
      </c>
    </row>
    <row r="56" spans="1:22" s="65" customFormat="1" ht="16.5" customHeight="1">
      <c r="A56" s="77"/>
      <c r="B56" s="77"/>
      <c r="C56" s="77">
        <v>2018</v>
      </c>
      <c r="D56" s="179">
        <v>10</v>
      </c>
      <c r="E56" s="215"/>
      <c r="F56" s="215"/>
      <c r="G56" s="215"/>
      <c r="H56" s="215"/>
      <c r="I56" s="215"/>
      <c r="J56" s="215"/>
      <c r="K56" s="215"/>
      <c r="L56" s="179"/>
      <c r="M56" s="179"/>
      <c r="N56" s="179"/>
      <c r="O56" s="179">
        <v>10</v>
      </c>
      <c r="P56" s="77"/>
      <c r="Q56" s="77"/>
      <c r="R56" s="77"/>
      <c r="S56" s="77"/>
      <c r="T56" s="77"/>
      <c r="U56" s="77"/>
      <c r="V56" s="77"/>
    </row>
    <row r="57" spans="1:22" s="65" customFormat="1" ht="14.25">
      <c r="A57" s="77"/>
      <c r="B57" s="77"/>
      <c r="C57" s="77">
        <v>2019</v>
      </c>
      <c r="D57" s="179">
        <f>O57</f>
        <v>0</v>
      </c>
      <c r="E57" s="215"/>
      <c r="F57" s="215"/>
      <c r="G57" s="215"/>
      <c r="H57" s="215"/>
      <c r="I57" s="215"/>
      <c r="J57" s="215"/>
      <c r="K57" s="215"/>
      <c r="L57" s="179"/>
      <c r="M57" s="179"/>
      <c r="N57" s="179"/>
      <c r="O57" s="179">
        <v>0</v>
      </c>
      <c r="P57" s="77"/>
      <c r="Q57" s="77"/>
      <c r="R57" s="77"/>
      <c r="S57" s="77"/>
      <c r="T57" s="77"/>
      <c r="U57" s="77"/>
      <c r="V57" s="77"/>
    </row>
    <row r="58" spans="1:22" s="65" customFormat="1" ht="21" customHeight="1">
      <c r="A58" s="77"/>
      <c r="B58" s="77"/>
      <c r="C58" s="77">
        <v>2020</v>
      </c>
      <c r="D58" s="179">
        <v>15</v>
      </c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179">
        <v>0</v>
      </c>
      <c r="P58" s="77"/>
      <c r="Q58" s="77"/>
      <c r="R58" s="77"/>
      <c r="S58" s="77"/>
      <c r="T58" s="77"/>
      <c r="U58" s="77"/>
      <c r="V58" s="77"/>
    </row>
    <row r="59" spans="1:22" s="65" customFormat="1" ht="21" customHeight="1">
      <c r="A59" s="77"/>
      <c r="B59" s="77"/>
      <c r="C59" s="77">
        <v>2021</v>
      </c>
      <c r="D59" s="179">
        <f aca="true" t="shared" si="2" ref="D59:D62">O59</f>
        <v>0</v>
      </c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179">
        <v>0</v>
      </c>
      <c r="P59" s="77"/>
      <c r="Q59" s="77"/>
      <c r="R59" s="77"/>
      <c r="S59" s="77"/>
      <c r="T59" s="77"/>
      <c r="U59" s="77"/>
      <c r="V59" s="77"/>
    </row>
    <row r="60" spans="1:22" s="65" customFormat="1" ht="21" customHeight="1">
      <c r="A60" s="77"/>
      <c r="B60" s="77"/>
      <c r="C60" s="77">
        <v>2022</v>
      </c>
      <c r="D60" s="179">
        <f t="shared" si="2"/>
        <v>0</v>
      </c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179">
        <v>0</v>
      </c>
      <c r="P60" s="77"/>
      <c r="Q60" s="77"/>
      <c r="R60" s="77"/>
      <c r="S60" s="77"/>
      <c r="T60" s="77"/>
      <c r="U60" s="77"/>
      <c r="V60" s="77"/>
    </row>
    <row r="61" spans="1:22" s="65" customFormat="1" ht="21" customHeight="1">
      <c r="A61" s="77"/>
      <c r="B61" s="77"/>
      <c r="C61" s="77">
        <v>2023</v>
      </c>
      <c r="D61" s="179">
        <f t="shared" si="2"/>
        <v>0</v>
      </c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179">
        <v>0</v>
      </c>
      <c r="P61" s="77"/>
      <c r="Q61" s="77"/>
      <c r="R61" s="77"/>
      <c r="S61" s="77"/>
      <c r="T61" s="77"/>
      <c r="U61" s="77"/>
      <c r="V61" s="77"/>
    </row>
    <row r="62" spans="1:22" s="65" customFormat="1" ht="21" customHeight="1" hidden="1">
      <c r="A62" s="77"/>
      <c r="B62" s="77"/>
      <c r="C62" s="234">
        <f>O62</f>
        <v>0</v>
      </c>
      <c r="D62" s="179">
        <f t="shared" si="2"/>
        <v>0</v>
      </c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179">
        <v>0</v>
      </c>
      <c r="P62" s="77"/>
      <c r="Q62" s="77"/>
      <c r="R62" s="77"/>
      <c r="S62" s="77"/>
      <c r="T62" s="77"/>
      <c r="U62" s="77"/>
      <c r="V62" s="77"/>
    </row>
    <row r="63" spans="1:22" s="65" customFormat="1" ht="21" customHeight="1">
      <c r="A63" s="77"/>
      <c r="B63" s="77"/>
      <c r="C63" s="82">
        <v>2024</v>
      </c>
      <c r="D63" s="179">
        <v>0</v>
      </c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179">
        <v>0</v>
      </c>
      <c r="P63" s="77"/>
      <c r="Q63" s="77"/>
      <c r="R63" s="77"/>
      <c r="S63" s="77"/>
      <c r="T63" s="77"/>
      <c r="U63" s="77"/>
      <c r="V63" s="77"/>
    </row>
    <row r="64" spans="1:22" s="65" customFormat="1" ht="21" customHeight="1">
      <c r="A64" s="77"/>
      <c r="B64" s="77"/>
      <c r="C64" s="82">
        <v>2025</v>
      </c>
      <c r="D64" s="179">
        <v>0</v>
      </c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179">
        <v>0</v>
      </c>
      <c r="P64" s="77"/>
      <c r="Q64" s="77"/>
      <c r="R64" s="77"/>
      <c r="S64" s="77"/>
      <c r="T64" s="77"/>
      <c r="U64" s="77"/>
      <c r="V64" s="77"/>
    </row>
    <row r="65" spans="1:22" s="65" customFormat="1" ht="21" customHeight="1">
      <c r="A65" s="77" t="s">
        <v>67</v>
      </c>
      <c r="B65" s="77" t="s">
        <v>320</v>
      </c>
      <c r="C65" s="77">
        <v>2017</v>
      </c>
      <c r="D65" s="179">
        <v>0</v>
      </c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179">
        <v>0</v>
      </c>
      <c r="P65" s="77"/>
      <c r="Q65" s="77"/>
      <c r="R65" s="77"/>
      <c r="S65" s="77"/>
      <c r="T65" s="77"/>
      <c r="U65" s="235"/>
      <c r="V65" s="235"/>
    </row>
    <row r="66" spans="1:22" s="65" customFormat="1" ht="21" customHeight="1">
      <c r="A66" s="77"/>
      <c r="B66" s="77"/>
      <c r="C66" s="77">
        <v>2018</v>
      </c>
      <c r="D66" s="179">
        <v>0</v>
      </c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179">
        <v>0</v>
      </c>
      <c r="P66" s="77"/>
      <c r="Q66" s="77"/>
      <c r="R66" s="77"/>
      <c r="S66" s="77"/>
      <c r="T66" s="77"/>
      <c r="U66" s="235"/>
      <c r="V66" s="235"/>
    </row>
    <row r="67" spans="1:22" s="65" customFormat="1" ht="21" customHeight="1">
      <c r="A67" s="77"/>
      <c r="B67" s="77"/>
      <c r="C67" s="77">
        <v>2019</v>
      </c>
      <c r="D67" s="179">
        <v>0</v>
      </c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179">
        <v>0</v>
      </c>
      <c r="P67" s="77"/>
      <c r="Q67" s="77"/>
      <c r="R67" s="77"/>
      <c r="S67" s="77"/>
      <c r="T67" s="77"/>
      <c r="U67" s="235"/>
      <c r="V67" s="235"/>
    </row>
    <row r="68" spans="1:22" s="65" customFormat="1" ht="21" customHeight="1">
      <c r="A68" s="77"/>
      <c r="B68" s="77"/>
      <c r="C68" s="77">
        <v>2020</v>
      </c>
      <c r="D68" s="179">
        <v>0</v>
      </c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179">
        <v>0</v>
      </c>
      <c r="P68" s="77"/>
      <c r="Q68" s="77"/>
      <c r="R68" s="77"/>
      <c r="S68" s="77"/>
      <c r="T68" s="77"/>
      <c r="U68" s="235"/>
      <c r="V68" s="235"/>
    </row>
    <row r="69" spans="1:22" s="65" customFormat="1" ht="21" customHeight="1">
      <c r="A69" s="77"/>
      <c r="B69" s="77"/>
      <c r="C69" s="77">
        <v>2021</v>
      </c>
      <c r="D69" s="179">
        <f aca="true" t="shared" si="3" ref="D69:D74">O69</f>
        <v>0</v>
      </c>
      <c r="E69" s="215"/>
      <c r="F69" s="215"/>
      <c r="G69" s="215"/>
      <c r="H69" s="215"/>
      <c r="I69" s="215"/>
      <c r="J69" s="215"/>
      <c r="K69" s="215"/>
      <c r="L69" s="215"/>
      <c r="M69" s="215"/>
      <c r="N69" s="215"/>
      <c r="O69" s="179">
        <v>0</v>
      </c>
      <c r="P69" s="77"/>
      <c r="Q69" s="77"/>
      <c r="R69" s="77"/>
      <c r="S69" s="77"/>
      <c r="T69" s="77"/>
      <c r="U69" s="235"/>
      <c r="V69" s="235"/>
    </row>
    <row r="70" spans="1:22" s="65" customFormat="1" ht="21" customHeight="1">
      <c r="A70" s="77"/>
      <c r="B70" s="77"/>
      <c r="C70" s="77">
        <v>2022</v>
      </c>
      <c r="D70" s="179">
        <f t="shared" si="3"/>
        <v>30</v>
      </c>
      <c r="E70" s="215"/>
      <c r="F70" s="215"/>
      <c r="G70" s="215"/>
      <c r="H70" s="215"/>
      <c r="I70" s="215"/>
      <c r="J70" s="215"/>
      <c r="K70" s="215"/>
      <c r="L70" s="215"/>
      <c r="M70" s="215"/>
      <c r="N70" s="215"/>
      <c r="O70" s="179">
        <v>30</v>
      </c>
      <c r="P70" s="77"/>
      <c r="Q70" s="77"/>
      <c r="R70" s="77"/>
      <c r="S70" s="77"/>
      <c r="T70" s="77"/>
      <c r="U70" s="235"/>
      <c r="V70" s="235"/>
    </row>
    <row r="71" spans="1:22" s="65" customFormat="1" ht="21" customHeight="1">
      <c r="A71" s="77"/>
      <c r="B71" s="77"/>
      <c r="C71" s="217">
        <v>2023</v>
      </c>
      <c r="D71" s="218">
        <f t="shared" si="3"/>
        <v>45</v>
      </c>
      <c r="E71" s="219"/>
      <c r="F71" s="219"/>
      <c r="G71" s="219"/>
      <c r="H71" s="219"/>
      <c r="I71" s="219"/>
      <c r="J71" s="219"/>
      <c r="K71" s="219"/>
      <c r="L71" s="219"/>
      <c r="M71" s="219"/>
      <c r="N71" s="219"/>
      <c r="O71" s="218">
        <f>15+30</f>
        <v>45</v>
      </c>
      <c r="P71" s="77"/>
      <c r="Q71" s="77"/>
      <c r="R71" s="77"/>
      <c r="S71" s="77"/>
      <c r="T71" s="77"/>
      <c r="U71" s="235"/>
      <c r="V71" s="235"/>
    </row>
    <row r="72" spans="1:22" s="65" customFormat="1" ht="21" customHeight="1">
      <c r="A72" s="77"/>
      <c r="B72" s="77"/>
      <c r="C72" s="81">
        <v>2024</v>
      </c>
      <c r="D72" s="179">
        <f t="shared" si="3"/>
        <v>10</v>
      </c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179">
        <v>10</v>
      </c>
      <c r="P72" s="77"/>
      <c r="Q72" s="77"/>
      <c r="R72" s="77"/>
      <c r="S72" s="77"/>
      <c r="T72" s="77"/>
      <c r="U72" s="235"/>
      <c r="V72" s="235"/>
    </row>
    <row r="73" spans="1:22" s="65" customFormat="1" ht="21" customHeight="1">
      <c r="A73" s="77"/>
      <c r="B73" s="77"/>
      <c r="C73" s="81">
        <v>2025</v>
      </c>
      <c r="D73" s="179">
        <f t="shared" si="3"/>
        <v>10</v>
      </c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179">
        <v>10</v>
      </c>
      <c r="P73" s="77"/>
      <c r="Q73" s="77"/>
      <c r="R73" s="77"/>
      <c r="S73" s="77"/>
      <c r="T73" s="77"/>
      <c r="U73" s="235"/>
      <c r="V73" s="235"/>
    </row>
    <row r="74" spans="1:22" s="65" customFormat="1" ht="21" customHeight="1">
      <c r="A74" s="236" t="s">
        <v>321</v>
      </c>
      <c r="B74" s="236"/>
      <c r="C74" s="237">
        <v>2017</v>
      </c>
      <c r="D74" s="238">
        <f t="shared" si="3"/>
        <v>358.5</v>
      </c>
      <c r="E74" s="215"/>
      <c r="F74" s="215"/>
      <c r="G74" s="215"/>
      <c r="H74" s="215"/>
      <c r="I74" s="215"/>
      <c r="J74" s="215"/>
      <c r="K74" s="215"/>
      <c r="L74" s="215"/>
      <c r="M74" s="215"/>
      <c r="N74" s="215"/>
      <c r="O74" s="238">
        <f>O55+O46+O37+O27+O18+O87</f>
        <v>358.5</v>
      </c>
      <c r="P74" s="77"/>
      <c r="Q74" s="77"/>
      <c r="R74" s="77"/>
      <c r="S74" s="77"/>
      <c r="T74" s="77"/>
      <c r="U74" s="77"/>
      <c r="V74" s="77"/>
    </row>
    <row r="75" spans="1:22" s="65" customFormat="1" ht="21" customHeight="1">
      <c r="A75" s="236"/>
      <c r="B75" s="236"/>
      <c r="C75" s="237">
        <v>2018</v>
      </c>
      <c r="D75" s="238">
        <f>SUM(E75:O75)</f>
        <v>358.5</v>
      </c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8">
        <f>SUM(O19+O28+O38+O47+O56+O88)</f>
        <v>358.5</v>
      </c>
      <c r="P75" s="77"/>
      <c r="Q75" s="77"/>
      <c r="R75" s="77"/>
      <c r="S75" s="77"/>
      <c r="T75" s="77"/>
      <c r="U75" s="77"/>
      <c r="V75" s="77"/>
    </row>
    <row r="76" spans="1:22" s="65" customFormat="1" ht="21" customHeight="1">
      <c r="A76" s="236"/>
      <c r="B76" s="236"/>
      <c r="C76" s="237">
        <v>2019</v>
      </c>
      <c r="D76" s="238">
        <f>D57+D48+D39+D30+D20</f>
        <v>400</v>
      </c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8">
        <f>SUM(O20+O30+O39+O48+O57)</f>
        <v>400</v>
      </c>
      <c r="P76" s="77"/>
      <c r="Q76" s="77"/>
      <c r="R76" s="77"/>
      <c r="S76" s="77"/>
      <c r="T76" s="77"/>
      <c r="U76" s="77"/>
      <c r="V76" s="77"/>
    </row>
    <row r="77" spans="1:22" s="65" customFormat="1" ht="21" customHeight="1">
      <c r="A77" s="236"/>
      <c r="B77" s="236"/>
      <c r="C77" s="237">
        <v>2020</v>
      </c>
      <c r="D77" s="238">
        <f>SUM(E77:O77)</f>
        <v>399.1825</v>
      </c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8">
        <f>O58+O49+O40+O31+O21</f>
        <v>399.1825</v>
      </c>
      <c r="P77" s="77"/>
      <c r="Q77" s="77"/>
      <c r="R77" s="77"/>
      <c r="S77" s="77"/>
      <c r="T77" s="77"/>
      <c r="U77" s="77"/>
      <c r="V77" s="77"/>
    </row>
    <row r="78" spans="1:22" s="65" customFormat="1" ht="21" customHeight="1">
      <c r="A78" s="236"/>
      <c r="B78" s="236"/>
      <c r="C78" s="237">
        <v>2021</v>
      </c>
      <c r="D78" s="238">
        <f aca="true" t="shared" si="4" ref="D78:D82">O78</f>
        <v>400</v>
      </c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8">
        <f aca="true" t="shared" si="5" ref="O78:O80">O59+O50+O41+O32+O22+O69</f>
        <v>400</v>
      </c>
      <c r="P78" s="77"/>
      <c r="Q78" s="77"/>
      <c r="R78" s="77"/>
      <c r="S78" s="77"/>
      <c r="T78" s="77"/>
      <c r="U78" s="77"/>
      <c r="V78" s="77"/>
    </row>
    <row r="79" spans="1:22" s="65" customFormat="1" ht="21" customHeight="1">
      <c r="A79" s="236"/>
      <c r="B79" s="236"/>
      <c r="C79" s="237">
        <v>2022</v>
      </c>
      <c r="D79" s="238">
        <f t="shared" si="4"/>
        <v>400</v>
      </c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8">
        <f t="shared" si="5"/>
        <v>400</v>
      </c>
      <c r="P79" s="77"/>
      <c r="Q79" s="77"/>
      <c r="R79" s="77"/>
      <c r="S79" s="77"/>
      <c r="T79" s="77"/>
      <c r="U79" s="77"/>
      <c r="V79" s="77"/>
    </row>
    <row r="80" spans="1:22" s="65" customFormat="1" ht="21" customHeight="1">
      <c r="A80" s="236"/>
      <c r="B80" s="236"/>
      <c r="C80" s="240">
        <v>2023</v>
      </c>
      <c r="D80" s="241">
        <f t="shared" si="4"/>
        <v>507.753</v>
      </c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1">
        <f t="shared" si="5"/>
        <v>507.753</v>
      </c>
      <c r="P80" s="77"/>
      <c r="Q80" s="77"/>
      <c r="R80" s="77"/>
      <c r="S80" s="77"/>
      <c r="T80" s="77"/>
      <c r="U80" s="77"/>
      <c r="V80" s="77"/>
    </row>
    <row r="81" spans="1:22" s="65" customFormat="1" ht="21" customHeight="1">
      <c r="A81" s="236"/>
      <c r="B81" s="236"/>
      <c r="C81" s="237">
        <v>2024</v>
      </c>
      <c r="D81" s="238">
        <f t="shared" si="4"/>
        <v>50</v>
      </c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8">
        <f>O72+O62+O53+O44+O35+O25</f>
        <v>50</v>
      </c>
      <c r="P81" s="77"/>
      <c r="Q81" s="77"/>
      <c r="R81" s="77"/>
      <c r="S81" s="77"/>
      <c r="T81" s="77"/>
      <c r="U81" s="77"/>
      <c r="V81" s="77"/>
    </row>
    <row r="82" spans="1:22" s="65" customFormat="1" ht="21" customHeight="1">
      <c r="A82" s="236"/>
      <c r="B82" s="236"/>
      <c r="C82" s="237">
        <v>2025</v>
      </c>
      <c r="D82" s="238">
        <f t="shared" si="4"/>
        <v>50</v>
      </c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8">
        <f>O26+O36+O45+O54+O73</f>
        <v>50</v>
      </c>
      <c r="P82" s="77"/>
      <c r="Q82" s="77"/>
      <c r="R82" s="77"/>
      <c r="S82" s="77"/>
      <c r="T82" s="77"/>
      <c r="U82" s="77"/>
      <c r="V82" s="77"/>
    </row>
    <row r="83" spans="1:22" s="65" customFormat="1" ht="19.5" customHeight="1">
      <c r="A83" s="236"/>
      <c r="B83" s="236"/>
      <c r="C83" s="243" t="s">
        <v>322</v>
      </c>
      <c r="D83" s="238">
        <f>SUM(D74:D79)+D80+D81</f>
        <v>2873.9355</v>
      </c>
      <c r="E83" s="244">
        <f>SUM(E75:E77)</f>
        <v>0</v>
      </c>
      <c r="F83" s="245"/>
      <c r="G83" s="245"/>
      <c r="H83" s="245"/>
      <c r="I83" s="245"/>
      <c r="J83" s="245"/>
      <c r="K83" s="245"/>
      <c r="L83" s="245"/>
      <c r="M83" s="245"/>
      <c r="N83" s="238">
        <v>430</v>
      </c>
      <c r="O83" s="244">
        <f>SUM(O74:O81)</f>
        <v>2873.9355</v>
      </c>
      <c r="P83" s="246"/>
      <c r="Q83" s="246"/>
      <c r="R83" s="246"/>
      <c r="S83" s="246"/>
      <c r="T83" s="246"/>
      <c r="U83" s="246"/>
      <c r="V83" s="243"/>
    </row>
    <row r="84" spans="1:22" s="65" customFormat="1" ht="18.75" customHeight="1">
      <c r="A84" s="247" t="s">
        <v>114</v>
      </c>
      <c r="B84" s="247"/>
      <c r="C84" s="247"/>
      <c r="D84" s="247"/>
      <c r="E84" s="247"/>
      <c r="F84" s="247"/>
      <c r="G84" s="247"/>
      <c r="H84" s="247"/>
      <c r="I84" s="247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</row>
    <row r="85" spans="1:22" s="65" customFormat="1" ht="33" customHeight="1">
      <c r="A85" s="248" t="s">
        <v>323</v>
      </c>
      <c r="B85" s="249" t="s">
        <v>324</v>
      </c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</row>
    <row r="86" spans="1:22" s="65" customFormat="1" ht="18" customHeight="1" hidden="1">
      <c r="A86" s="248"/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</row>
    <row r="87" spans="1:22" s="65" customFormat="1" ht="33" customHeight="1">
      <c r="A87" s="77" t="s">
        <v>119</v>
      </c>
      <c r="B87" s="77" t="s">
        <v>325</v>
      </c>
      <c r="C87" s="228">
        <v>2017</v>
      </c>
      <c r="D87" s="250">
        <f aca="true" t="shared" si="6" ref="D87:D88">O87</f>
        <v>0</v>
      </c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0">
        <v>0</v>
      </c>
      <c r="P87" s="77"/>
      <c r="Q87" s="77"/>
      <c r="R87" s="77"/>
      <c r="S87" s="77"/>
      <c r="T87" s="77"/>
      <c r="U87" s="205" t="s">
        <v>173</v>
      </c>
      <c r="V87" s="205" t="s">
        <v>326</v>
      </c>
    </row>
    <row r="88" spans="1:22" s="65" customFormat="1" ht="14.25">
      <c r="A88" s="77"/>
      <c r="B88" s="77"/>
      <c r="C88" s="228">
        <v>2018</v>
      </c>
      <c r="D88" s="250">
        <f t="shared" si="6"/>
        <v>0</v>
      </c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2">
        <v>0</v>
      </c>
      <c r="P88" s="77"/>
      <c r="Q88" s="77"/>
      <c r="R88" s="77"/>
      <c r="S88" s="77"/>
      <c r="T88" s="77"/>
      <c r="U88" s="205"/>
      <c r="V88" s="205"/>
    </row>
    <row r="89" spans="1:22" s="65" customFormat="1" ht="14.25">
      <c r="A89" s="77"/>
      <c r="B89" s="77"/>
      <c r="C89" s="228">
        <v>2019</v>
      </c>
      <c r="D89" s="250">
        <f aca="true" t="shared" si="7" ref="D89:D92">I89+O89+H89</f>
        <v>4643.849999999999</v>
      </c>
      <c r="E89" s="251"/>
      <c r="F89" s="251">
        <v>5000</v>
      </c>
      <c r="G89" s="251">
        <f>H89</f>
        <v>4407.4</v>
      </c>
      <c r="H89" s="251">
        <v>4407.4</v>
      </c>
      <c r="I89" s="250">
        <v>0</v>
      </c>
      <c r="J89" s="251"/>
      <c r="K89" s="251"/>
      <c r="L89" s="251"/>
      <c r="M89" s="251"/>
      <c r="N89" s="251"/>
      <c r="O89" s="253">
        <f>4.5+231.95</f>
        <v>236.45</v>
      </c>
      <c r="P89" s="77"/>
      <c r="Q89" s="77"/>
      <c r="R89" s="77"/>
      <c r="S89" s="77"/>
      <c r="T89" s="77"/>
      <c r="U89" s="205"/>
      <c r="V89" s="205"/>
    </row>
    <row r="90" spans="1:22" s="65" customFormat="1" ht="14.25" customHeight="1">
      <c r="A90" s="77"/>
      <c r="B90" s="77"/>
      <c r="C90" s="228">
        <v>2020</v>
      </c>
      <c r="D90" s="250">
        <f t="shared" si="7"/>
        <v>0</v>
      </c>
      <c r="E90" s="251"/>
      <c r="F90" s="251">
        <v>4000</v>
      </c>
      <c r="G90" s="251"/>
      <c r="H90" s="251"/>
      <c r="I90" s="250">
        <v>0</v>
      </c>
      <c r="J90" s="251"/>
      <c r="K90" s="251"/>
      <c r="L90" s="251"/>
      <c r="M90" s="251"/>
      <c r="N90" s="251"/>
      <c r="O90" s="254">
        <v>0</v>
      </c>
      <c r="P90" s="77"/>
      <c r="Q90" s="77"/>
      <c r="R90" s="77"/>
      <c r="S90" s="77"/>
      <c r="T90" s="77"/>
      <c r="U90" s="205"/>
      <c r="V90" s="205"/>
    </row>
    <row r="91" spans="1:22" s="65" customFormat="1" ht="14.25" customHeight="1">
      <c r="A91" s="77"/>
      <c r="B91" s="77"/>
      <c r="C91" s="228">
        <v>2021</v>
      </c>
      <c r="D91" s="250">
        <f t="shared" si="7"/>
        <v>0</v>
      </c>
      <c r="E91" s="251"/>
      <c r="F91" s="251"/>
      <c r="G91" s="251"/>
      <c r="H91" s="251"/>
      <c r="I91" s="250">
        <v>0</v>
      </c>
      <c r="J91" s="251"/>
      <c r="K91" s="251"/>
      <c r="L91" s="251"/>
      <c r="M91" s="251"/>
      <c r="N91" s="251"/>
      <c r="O91" s="254">
        <v>0</v>
      </c>
      <c r="P91" s="77"/>
      <c r="Q91" s="77"/>
      <c r="R91" s="77"/>
      <c r="S91" s="77"/>
      <c r="T91" s="77"/>
      <c r="U91" s="205"/>
      <c r="V91" s="205"/>
    </row>
    <row r="92" spans="1:22" s="65" customFormat="1" ht="14.25" customHeight="1">
      <c r="A92" s="77"/>
      <c r="B92" s="77"/>
      <c r="C92" s="228">
        <v>2022</v>
      </c>
      <c r="D92" s="250">
        <f t="shared" si="7"/>
        <v>0</v>
      </c>
      <c r="E92" s="251"/>
      <c r="F92" s="251"/>
      <c r="G92" s="251"/>
      <c r="H92" s="251"/>
      <c r="I92" s="250"/>
      <c r="J92" s="251"/>
      <c r="K92" s="251"/>
      <c r="L92" s="251"/>
      <c r="M92" s="251"/>
      <c r="N92" s="251"/>
      <c r="O92" s="254">
        <v>0</v>
      </c>
      <c r="P92" s="77"/>
      <c r="Q92" s="77"/>
      <c r="R92" s="77"/>
      <c r="S92" s="77"/>
      <c r="T92" s="77"/>
      <c r="U92" s="205"/>
      <c r="V92" s="205"/>
    </row>
    <row r="93" spans="1:22" s="65" customFormat="1" ht="15.75" customHeight="1">
      <c r="A93" s="77"/>
      <c r="B93" s="77"/>
      <c r="C93" s="228">
        <v>2023</v>
      </c>
      <c r="D93" s="250">
        <f>G93+O93</f>
        <v>0</v>
      </c>
      <c r="E93" s="251"/>
      <c r="F93" s="251"/>
      <c r="G93" s="251">
        <v>0</v>
      </c>
      <c r="H93" s="251"/>
      <c r="I93" s="250">
        <v>0</v>
      </c>
      <c r="J93" s="251"/>
      <c r="K93" s="251"/>
      <c r="L93" s="251"/>
      <c r="M93" s="251"/>
      <c r="N93" s="251"/>
      <c r="O93" s="255">
        <v>0</v>
      </c>
      <c r="P93" s="77"/>
      <c r="Q93" s="77"/>
      <c r="R93" s="77"/>
      <c r="S93" s="77"/>
      <c r="T93" s="77"/>
      <c r="U93" s="205"/>
      <c r="V93" s="205"/>
    </row>
    <row r="94" spans="1:22" s="65" customFormat="1" ht="14.25" customHeight="1">
      <c r="A94" s="77"/>
      <c r="B94" s="77"/>
      <c r="C94" s="228">
        <v>2024</v>
      </c>
      <c r="D94" s="250">
        <f aca="true" t="shared" si="8" ref="D94:D95">I94+O94+H94</f>
        <v>0</v>
      </c>
      <c r="E94" s="251"/>
      <c r="F94" s="251"/>
      <c r="G94" s="251"/>
      <c r="H94" s="251"/>
      <c r="I94" s="250"/>
      <c r="J94" s="251"/>
      <c r="K94" s="251"/>
      <c r="L94" s="251"/>
      <c r="M94" s="251"/>
      <c r="N94" s="251"/>
      <c r="O94" s="254">
        <v>0</v>
      </c>
      <c r="P94" s="77"/>
      <c r="Q94" s="77"/>
      <c r="R94" s="77"/>
      <c r="S94" s="77"/>
      <c r="T94" s="77"/>
      <c r="U94" s="205"/>
      <c r="V94" s="205"/>
    </row>
    <row r="95" spans="1:22" s="65" customFormat="1" ht="14.25" customHeight="1">
      <c r="A95" s="77"/>
      <c r="B95" s="77"/>
      <c r="C95" s="228">
        <v>2025</v>
      </c>
      <c r="D95" s="250">
        <f t="shared" si="8"/>
        <v>0</v>
      </c>
      <c r="E95" s="251"/>
      <c r="F95" s="251"/>
      <c r="G95" s="251"/>
      <c r="H95" s="251"/>
      <c r="I95" s="250"/>
      <c r="J95" s="251"/>
      <c r="K95" s="251"/>
      <c r="L95" s="251"/>
      <c r="M95" s="251"/>
      <c r="N95" s="251"/>
      <c r="O95" s="254">
        <v>0</v>
      </c>
      <c r="P95" s="77"/>
      <c r="Q95" s="77"/>
      <c r="R95" s="77"/>
      <c r="S95" s="77"/>
      <c r="T95" s="77"/>
      <c r="U95" s="205"/>
      <c r="V95" s="205"/>
    </row>
    <row r="96" spans="1:22" s="65" customFormat="1" ht="14.25" customHeight="1">
      <c r="A96" s="77" t="s">
        <v>123</v>
      </c>
      <c r="B96" s="77" t="s">
        <v>327</v>
      </c>
      <c r="C96" s="228">
        <v>2017</v>
      </c>
      <c r="D96" s="250">
        <f aca="true" t="shared" si="9" ref="D96:D99">O96</f>
        <v>0</v>
      </c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0">
        <v>0</v>
      </c>
      <c r="P96" s="77"/>
      <c r="Q96" s="77"/>
      <c r="R96" s="77"/>
      <c r="S96" s="77"/>
      <c r="T96" s="77"/>
      <c r="U96" s="205" t="s">
        <v>173</v>
      </c>
      <c r="V96" s="205"/>
    </row>
    <row r="97" spans="1:22" s="65" customFormat="1" ht="14.25" customHeight="1">
      <c r="A97" s="77"/>
      <c r="B97" s="77"/>
      <c r="C97" s="228">
        <v>2018</v>
      </c>
      <c r="D97" s="250">
        <f t="shared" si="9"/>
        <v>70</v>
      </c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0">
        <v>70</v>
      </c>
      <c r="P97" s="77"/>
      <c r="Q97" s="77"/>
      <c r="R97" s="77"/>
      <c r="S97" s="77"/>
      <c r="T97" s="77"/>
      <c r="U97" s="205"/>
      <c r="V97" s="205"/>
    </row>
    <row r="98" spans="1:22" s="65" customFormat="1" ht="14.25" customHeight="1">
      <c r="A98" s="77"/>
      <c r="B98" s="77"/>
      <c r="C98" s="228">
        <v>2019</v>
      </c>
      <c r="D98" s="250">
        <f t="shared" si="9"/>
        <v>0</v>
      </c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0">
        <v>0</v>
      </c>
      <c r="P98" s="77"/>
      <c r="Q98" s="77"/>
      <c r="R98" s="77"/>
      <c r="S98" s="77"/>
      <c r="T98" s="77"/>
      <c r="U98" s="205"/>
      <c r="V98" s="205"/>
    </row>
    <row r="99" spans="1:22" s="65" customFormat="1" ht="21.75" customHeight="1">
      <c r="A99" s="77"/>
      <c r="B99" s="77"/>
      <c r="C99" s="228">
        <v>2020</v>
      </c>
      <c r="D99" s="250">
        <f t="shared" si="9"/>
        <v>0</v>
      </c>
      <c r="E99" s="251"/>
      <c r="F99" s="251"/>
      <c r="G99" s="251"/>
      <c r="H99" s="251"/>
      <c r="I99" s="251">
        <v>0</v>
      </c>
      <c r="J99" s="251"/>
      <c r="K99" s="251"/>
      <c r="L99" s="251"/>
      <c r="M99" s="251"/>
      <c r="N99" s="251"/>
      <c r="O99" s="250">
        <v>0</v>
      </c>
      <c r="P99" s="77"/>
      <c r="Q99" s="77"/>
      <c r="R99" s="77"/>
      <c r="S99" s="77"/>
      <c r="T99" s="77"/>
      <c r="U99" s="205"/>
      <c r="V99" s="205"/>
    </row>
    <row r="100" spans="1:22" s="65" customFormat="1" ht="21.75" customHeight="1">
      <c r="A100" s="77"/>
      <c r="B100" s="77"/>
      <c r="C100" s="228">
        <v>2021</v>
      </c>
      <c r="D100" s="250">
        <f>I100</f>
        <v>0</v>
      </c>
      <c r="E100" s="251"/>
      <c r="F100" s="251"/>
      <c r="G100" s="251"/>
      <c r="H100" s="251"/>
      <c r="I100" s="251">
        <v>0</v>
      </c>
      <c r="J100" s="251"/>
      <c r="K100" s="251"/>
      <c r="L100" s="251"/>
      <c r="M100" s="251"/>
      <c r="N100" s="251"/>
      <c r="O100" s="250">
        <v>0</v>
      </c>
      <c r="P100" s="77"/>
      <c r="Q100" s="77"/>
      <c r="R100" s="77"/>
      <c r="S100" s="77"/>
      <c r="T100" s="77"/>
      <c r="U100" s="205"/>
      <c r="V100" s="205"/>
    </row>
    <row r="101" spans="1:22" s="65" customFormat="1" ht="21.75" customHeight="1">
      <c r="A101" s="77"/>
      <c r="B101" s="77"/>
      <c r="C101" s="228">
        <v>2022</v>
      </c>
      <c r="D101" s="250">
        <f aca="true" t="shared" si="10" ref="D101:D105">O101</f>
        <v>0</v>
      </c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0">
        <v>0</v>
      </c>
      <c r="P101" s="77"/>
      <c r="Q101" s="77"/>
      <c r="R101" s="77"/>
      <c r="S101" s="77"/>
      <c r="T101" s="77"/>
      <c r="U101" s="205"/>
      <c r="V101" s="205"/>
    </row>
    <row r="102" spans="1:22" s="65" customFormat="1" ht="21.75" customHeight="1">
      <c r="A102" s="77"/>
      <c r="B102" s="77"/>
      <c r="C102" s="228">
        <v>2023</v>
      </c>
      <c r="D102" s="250">
        <f t="shared" si="10"/>
        <v>0</v>
      </c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0">
        <v>0</v>
      </c>
      <c r="P102" s="77"/>
      <c r="Q102" s="77"/>
      <c r="R102" s="77"/>
      <c r="S102" s="77"/>
      <c r="T102" s="77"/>
      <c r="U102" s="205"/>
      <c r="V102" s="205"/>
    </row>
    <row r="103" spans="1:22" s="65" customFormat="1" ht="21.75" customHeight="1">
      <c r="A103" s="77"/>
      <c r="B103" s="77"/>
      <c r="C103" s="228">
        <v>2024</v>
      </c>
      <c r="D103" s="250">
        <f t="shared" si="10"/>
        <v>0</v>
      </c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0">
        <v>0</v>
      </c>
      <c r="P103" s="77"/>
      <c r="Q103" s="77"/>
      <c r="R103" s="77"/>
      <c r="S103" s="77"/>
      <c r="T103" s="77"/>
      <c r="U103" s="205"/>
      <c r="V103" s="205"/>
    </row>
    <row r="104" spans="1:22" s="65" customFormat="1" ht="21.75" customHeight="1">
      <c r="A104" s="77"/>
      <c r="B104" s="77"/>
      <c r="C104" s="228">
        <v>2025</v>
      </c>
      <c r="D104" s="250">
        <f t="shared" si="10"/>
        <v>0</v>
      </c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0">
        <v>0</v>
      </c>
      <c r="P104" s="77"/>
      <c r="Q104" s="77"/>
      <c r="R104" s="77"/>
      <c r="S104" s="77"/>
      <c r="T104" s="77"/>
      <c r="U104" s="205"/>
      <c r="V104" s="205"/>
    </row>
    <row r="105" spans="1:22" s="65" customFormat="1" ht="21.75" customHeight="1">
      <c r="A105" s="77" t="s">
        <v>126</v>
      </c>
      <c r="B105" s="77" t="s">
        <v>328</v>
      </c>
      <c r="C105" s="228">
        <v>2017</v>
      </c>
      <c r="D105" s="250">
        <f t="shared" si="10"/>
        <v>0</v>
      </c>
      <c r="E105" s="251"/>
      <c r="F105" s="251"/>
      <c r="G105" s="251"/>
      <c r="H105" s="251"/>
      <c r="I105" s="251">
        <v>0</v>
      </c>
      <c r="J105" s="251"/>
      <c r="K105" s="251"/>
      <c r="L105" s="251"/>
      <c r="M105" s="251"/>
      <c r="N105" s="251"/>
      <c r="O105" s="250">
        <v>0</v>
      </c>
      <c r="P105" s="77"/>
      <c r="Q105" s="77"/>
      <c r="R105" s="77"/>
      <c r="S105" s="77"/>
      <c r="T105" s="77"/>
      <c r="U105" s="205" t="s">
        <v>163</v>
      </c>
      <c r="V105" s="77" t="s">
        <v>329</v>
      </c>
    </row>
    <row r="106" spans="1:22" s="65" customFormat="1" ht="21.75" customHeight="1">
      <c r="A106" s="77"/>
      <c r="B106" s="77"/>
      <c r="C106" s="228">
        <v>2018</v>
      </c>
      <c r="D106" s="250">
        <f>I106</f>
        <v>0</v>
      </c>
      <c r="E106" s="251"/>
      <c r="F106" s="251"/>
      <c r="G106" s="251"/>
      <c r="H106" s="251"/>
      <c r="I106" s="251">
        <v>0</v>
      </c>
      <c r="J106" s="251"/>
      <c r="K106" s="251"/>
      <c r="L106" s="251"/>
      <c r="M106" s="251"/>
      <c r="N106" s="251"/>
      <c r="O106" s="250">
        <v>0</v>
      </c>
      <c r="P106" s="77"/>
      <c r="Q106" s="77"/>
      <c r="R106" s="77"/>
      <c r="S106" s="77"/>
      <c r="T106" s="77"/>
      <c r="U106" s="205"/>
      <c r="V106" s="77"/>
    </row>
    <row r="107" spans="1:22" s="65" customFormat="1" ht="21.75" customHeight="1">
      <c r="A107" s="77"/>
      <c r="B107" s="77"/>
      <c r="C107" s="228">
        <v>2019</v>
      </c>
      <c r="D107" s="250">
        <f aca="true" t="shared" si="11" ref="D107:D113">O107+I107</f>
        <v>347.235</v>
      </c>
      <c r="E107" s="251"/>
      <c r="F107" s="251"/>
      <c r="G107" s="251">
        <f>I107</f>
        <v>330.7</v>
      </c>
      <c r="H107" s="251"/>
      <c r="I107" s="251">
        <v>330.7</v>
      </c>
      <c r="J107" s="251"/>
      <c r="K107" s="251"/>
      <c r="L107" s="251"/>
      <c r="M107" s="251"/>
      <c r="N107" s="251"/>
      <c r="O107" s="250">
        <v>16.535</v>
      </c>
      <c r="P107" s="77"/>
      <c r="Q107" s="77"/>
      <c r="R107" s="77"/>
      <c r="S107" s="77"/>
      <c r="T107" s="77"/>
      <c r="U107" s="205"/>
      <c r="V107" s="77"/>
    </row>
    <row r="108" spans="1:22" s="65" customFormat="1" ht="21.75" customHeight="1">
      <c r="A108" s="77"/>
      <c r="B108" s="77"/>
      <c r="C108" s="228">
        <v>2020</v>
      </c>
      <c r="D108" s="250">
        <f t="shared" si="11"/>
        <v>0</v>
      </c>
      <c r="E108" s="251"/>
      <c r="F108" s="251"/>
      <c r="G108" s="251"/>
      <c r="H108" s="251"/>
      <c r="I108" s="251">
        <v>0</v>
      </c>
      <c r="J108" s="251"/>
      <c r="K108" s="251"/>
      <c r="L108" s="251"/>
      <c r="M108" s="251"/>
      <c r="N108" s="251"/>
      <c r="O108" s="250">
        <v>0</v>
      </c>
      <c r="P108" s="77"/>
      <c r="Q108" s="77"/>
      <c r="R108" s="77"/>
      <c r="S108" s="77"/>
      <c r="T108" s="77"/>
      <c r="U108" s="205"/>
      <c r="V108" s="77"/>
    </row>
    <row r="109" spans="1:22" s="65" customFormat="1" ht="21.75" customHeight="1">
      <c r="A109" s="77"/>
      <c r="B109" s="77"/>
      <c r="C109" s="228">
        <v>2021</v>
      </c>
      <c r="D109" s="250">
        <f t="shared" si="11"/>
        <v>0</v>
      </c>
      <c r="E109" s="251"/>
      <c r="F109" s="251"/>
      <c r="G109" s="251"/>
      <c r="H109" s="251"/>
      <c r="I109" s="251">
        <v>0</v>
      </c>
      <c r="J109" s="251"/>
      <c r="K109" s="251"/>
      <c r="L109" s="251"/>
      <c r="M109" s="251"/>
      <c r="N109" s="251"/>
      <c r="O109" s="250">
        <v>0</v>
      </c>
      <c r="P109" s="77"/>
      <c r="Q109" s="77"/>
      <c r="R109" s="77"/>
      <c r="S109" s="77"/>
      <c r="T109" s="77"/>
      <c r="U109" s="205"/>
      <c r="V109" s="77"/>
    </row>
    <row r="110" spans="1:22" s="65" customFormat="1" ht="21.75" customHeight="1">
      <c r="A110" s="77"/>
      <c r="B110" s="77"/>
      <c r="C110" s="228">
        <v>2022</v>
      </c>
      <c r="D110" s="250">
        <f t="shared" si="11"/>
        <v>0</v>
      </c>
      <c r="E110" s="251"/>
      <c r="F110" s="251"/>
      <c r="G110" s="251"/>
      <c r="H110" s="251"/>
      <c r="I110" s="251">
        <v>0</v>
      </c>
      <c r="J110" s="251"/>
      <c r="K110" s="251"/>
      <c r="L110" s="251"/>
      <c r="M110" s="251"/>
      <c r="N110" s="251"/>
      <c r="O110" s="250">
        <v>0</v>
      </c>
      <c r="P110" s="77"/>
      <c r="Q110" s="77"/>
      <c r="R110" s="77"/>
      <c r="S110" s="77"/>
      <c r="T110" s="77"/>
      <c r="U110" s="205"/>
      <c r="V110" s="77"/>
    </row>
    <row r="111" spans="1:22" s="65" customFormat="1" ht="21.75" customHeight="1">
      <c r="A111" s="77"/>
      <c r="B111" s="77"/>
      <c r="C111" s="228">
        <v>2023</v>
      </c>
      <c r="D111" s="250">
        <f t="shared" si="11"/>
        <v>0</v>
      </c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0">
        <v>0</v>
      </c>
      <c r="P111" s="77"/>
      <c r="Q111" s="77"/>
      <c r="R111" s="77"/>
      <c r="S111" s="77"/>
      <c r="T111" s="77"/>
      <c r="U111" s="205"/>
      <c r="V111" s="77"/>
    </row>
    <row r="112" spans="1:22" s="65" customFormat="1" ht="21.75" customHeight="1">
      <c r="A112" s="77"/>
      <c r="B112" s="77"/>
      <c r="C112" s="228">
        <v>2024</v>
      </c>
      <c r="D112" s="250">
        <f t="shared" si="11"/>
        <v>0</v>
      </c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0">
        <v>0</v>
      </c>
      <c r="P112" s="77"/>
      <c r="Q112" s="77"/>
      <c r="R112" s="77"/>
      <c r="S112" s="77"/>
      <c r="T112" s="77"/>
      <c r="U112" s="205"/>
      <c r="V112" s="77"/>
    </row>
    <row r="113" spans="1:22" s="65" customFormat="1" ht="21.75" customHeight="1">
      <c r="A113" s="77"/>
      <c r="B113" s="77"/>
      <c r="C113" s="228">
        <v>2025</v>
      </c>
      <c r="D113" s="250">
        <f t="shared" si="11"/>
        <v>0</v>
      </c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0">
        <v>0</v>
      </c>
      <c r="P113" s="77"/>
      <c r="Q113" s="77"/>
      <c r="R113" s="77"/>
      <c r="S113" s="77"/>
      <c r="T113" s="77"/>
      <c r="U113" s="205"/>
      <c r="V113" s="77"/>
    </row>
    <row r="114" spans="1:22" s="65" customFormat="1" ht="21.75" customHeight="1">
      <c r="A114" s="77" t="s">
        <v>129</v>
      </c>
      <c r="B114" s="77" t="s">
        <v>330</v>
      </c>
      <c r="C114" s="228">
        <v>2017</v>
      </c>
      <c r="D114" s="250">
        <f>O114</f>
        <v>0</v>
      </c>
      <c r="E114" s="251"/>
      <c r="F114" s="251"/>
      <c r="G114" s="251"/>
      <c r="H114" s="251"/>
      <c r="I114" s="251">
        <v>0</v>
      </c>
      <c r="J114" s="251"/>
      <c r="K114" s="251"/>
      <c r="L114" s="251"/>
      <c r="M114" s="251"/>
      <c r="N114" s="251"/>
      <c r="O114" s="250">
        <v>0</v>
      </c>
      <c r="P114" s="77"/>
      <c r="Q114" s="77"/>
      <c r="R114" s="77"/>
      <c r="S114" s="77"/>
      <c r="T114" s="77"/>
      <c r="U114" s="205"/>
      <c r="V114" s="77"/>
    </row>
    <row r="115" spans="1:22" s="65" customFormat="1" ht="21.75" customHeight="1">
      <c r="A115" s="77"/>
      <c r="B115" s="77"/>
      <c r="C115" s="228">
        <v>2018</v>
      </c>
      <c r="D115" s="250">
        <f>I115</f>
        <v>0</v>
      </c>
      <c r="E115" s="251"/>
      <c r="F115" s="251"/>
      <c r="G115" s="251"/>
      <c r="H115" s="251"/>
      <c r="I115" s="251">
        <v>0</v>
      </c>
      <c r="J115" s="251"/>
      <c r="K115" s="251"/>
      <c r="L115" s="251"/>
      <c r="M115" s="251"/>
      <c r="N115" s="251"/>
      <c r="O115" s="250">
        <v>0</v>
      </c>
      <c r="P115" s="77"/>
      <c r="Q115" s="77"/>
      <c r="R115" s="77"/>
      <c r="S115" s="77"/>
      <c r="T115" s="77"/>
      <c r="U115" s="205"/>
      <c r="V115" s="77"/>
    </row>
    <row r="116" spans="1:22" s="65" customFormat="1" ht="21.75" customHeight="1">
      <c r="A116" s="77"/>
      <c r="B116" s="77"/>
      <c r="C116" s="228">
        <v>2019</v>
      </c>
      <c r="D116" s="250">
        <f>O116</f>
        <v>0</v>
      </c>
      <c r="E116" s="251"/>
      <c r="F116" s="251"/>
      <c r="G116" s="251"/>
      <c r="H116" s="251"/>
      <c r="I116" s="251">
        <v>0</v>
      </c>
      <c r="J116" s="251"/>
      <c r="K116" s="251"/>
      <c r="L116" s="251"/>
      <c r="M116" s="251"/>
      <c r="N116" s="251"/>
      <c r="O116" s="250">
        <v>0</v>
      </c>
      <c r="P116" s="77"/>
      <c r="Q116" s="77"/>
      <c r="R116" s="77"/>
      <c r="S116" s="77"/>
      <c r="T116" s="77"/>
      <c r="U116" s="205"/>
      <c r="V116" s="77"/>
    </row>
    <row r="117" spans="1:22" s="65" customFormat="1" ht="21.75" customHeight="1">
      <c r="A117" s="77"/>
      <c r="B117" s="77"/>
      <c r="C117" s="228">
        <v>2020</v>
      </c>
      <c r="D117" s="250">
        <f>P117+O117+I117</f>
        <v>334.82800000000003</v>
      </c>
      <c r="E117" s="251"/>
      <c r="F117" s="251"/>
      <c r="G117" s="251">
        <f aca="true" t="shared" si="12" ref="G117:G120">I117</f>
        <v>291.3</v>
      </c>
      <c r="H117" s="251"/>
      <c r="I117" s="251">
        <v>291.3</v>
      </c>
      <c r="J117" s="251"/>
      <c r="K117" s="251"/>
      <c r="L117" s="251"/>
      <c r="M117" s="251"/>
      <c r="N117" s="251"/>
      <c r="O117" s="250">
        <v>43.528</v>
      </c>
      <c r="P117" s="77"/>
      <c r="Q117" s="77"/>
      <c r="R117" s="77"/>
      <c r="S117" s="77"/>
      <c r="T117" s="77"/>
      <c r="U117" s="79" t="s">
        <v>163</v>
      </c>
      <c r="V117" s="77"/>
    </row>
    <row r="118" spans="1:22" s="65" customFormat="1" ht="21.75" customHeight="1">
      <c r="A118" s="77"/>
      <c r="B118" s="77"/>
      <c r="C118" s="228">
        <v>2021</v>
      </c>
      <c r="D118" s="250">
        <f aca="true" t="shared" si="13" ref="D118:D122">I118+O118</f>
        <v>344.828</v>
      </c>
      <c r="E118" s="251"/>
      <c r="F118" s="251"/>
      <c r="G118" s="251">
        <f t="shared" si="12"/>
        <v>300</v>
      </c>
      <c r="H118" s="251"/>
      <c r="I118" s="251">
        <v>300</v>
      </c>
      <c r="J118" s="251"/>
      <c r="K118" s="251"/>
      <c r="L118" s="251"/>
      <c r="M118" s="251"/>
      <c r="N118" s="251"/>
      <c r="O118" s="250">
        <v>44.828</v>
      </c>
      <c r="P118" s="77"/>
      <c r="Q118" s="77"/>
      <c r="R118" s="77"/>
      <c r="S118" s="77"/>
      <c r="T118" s="77"/>
      <c r="U118" s="79"/>
      <c r="V118" s="77"/>
    </row>
    <row r="119" spans="1:22" s="65" customFormat="1" ht="21.75" customHeight="1">
      <c r="A119" s="77"/>
      <c r="B119" s="77"/>
      <c r="C119" s="228">
        <v>2022</v>
      </c>
      <c r="D119" s="250">
        <f t="shared" si="13"/>
        <v>0</v>
      </c>
      <c r="E119" s="251"/>
      <c r="F119" s="251"/>
      <c r="G119" s="251">
        <f t="shared" si="12"/>
        <v>0</v>
      </c>
      <c r="H119" s="251"/>
      <c r="I119" s="251">
        <v>0</v>
      </c>
      <c r="J119" s="251"/>
      <c r="K119" s="251"/>
      <c r="L119" s="251"/>
      <c r="M119" s="251"/>
      <c r="N119" s="251"/>
      <c r="O119" s="250">
        <v>0</v>
      </c>
      <c r="P119" s="77"/>
      <c r="Q119" s="77"/>
      <c r="R119" s="77"/>
      <c r="S119" s="77"/>
      <c r="T119" s="77"/>
      <c r="U119" s="79"/>
      <c r="V119" s="77"/>
    </row>
    <row r="120" spans="1:22" s="65" customFormat="1" ht="21.75" customHeight="1">
      <c r="A120" s="77"/>
      <c r="B120" s="77"/>
      <c r="C120" s="228">
        <v>2023</v>
      </c>
      <c r="D120" s="250">
        <f t="shared" si="13"/>
        <v>0</v>
      </c>
      <c r="E120" s="251"/>
      <c r="F120" s="251"/>
      <c r="G120" s="251">
        <f t="shared" si="12"/>
        <v>0</v>
      </c>
      <c r="H120" s="251"/>
      <c r="I120" s="251">
        <v>0</v>
      </c>
      <c r="J120" s="251"/>
      <c r="K120" s="251"/>
      <c r="L120" s="251"/>
      <c r="M120" s="251"/>
      <c r="N120" s="251"/>
      <c r="O120" s="250">
        <v>0</v>
      </c>
      <c r="P120" s="77"/>
      <c r="Q120" s="77"/>
      <c r="R120" s="77"/>
      <c r="S120" s="77"/>
      <c r="T120" s="77"/>
      <c r="U120" s="79"/>
      <c r="V120" s="77"/>
    </row>
    <row r="121" spans="1:22" s="65" customFormat="1" ht="21.75" customHeight="1">
      <c r="A121" s="77"/>
      <c r="B121" s="77"/>
      <c r="C121" s="228">
        <v>2024</v>
      </c>
      <c r="D121" s="250">
        <f t="shared" si="13"/>
        <v>0</v>
      </c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0">
        <v>0</v>
      </c>
      <c r="P121" s="77"/>
      <c r="Q121" s="77"/>
      <c r="R121" s="77"/>
      <c r="S121" s="77"/>
      <c r="T121" s="77"/>
      <c r="U121" s="79"/>
      <c r="V121" s="77"/>
    </row>
    <row r="122" spans="1:22" s="65" customFormat="1" ht="21.75" customHeight="1">
      <c r="A122" s="77"/>
      <c r="B122" s="77"/>
      <c r="C122" s="228">
        <v>2025</v>
      </c>
      <c r="D122" s="250">
        <f t="shared" si="13"/>
        <v>0</v>
      </c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0">
        <v>0</v>
      </c>
      <c r="P122" s="77"/>
      <c r="Q122" s="77"/>
      <c r="R122" s="77"/>
      <c r="S122" s="77"/>
      <c r="T122" s="77"/>
      <c r="U122" s="79"/>
      <c r="V122" s="77"/>
    </row>
    <row r="123" spans="1:22" s="65" customFormat="1" ht="21.75" customHeight="1">
      <c r="A123" s="77" t="s">
        <v>132</v>
      </c>
      <c r="B123" s="77" t="s">
        <v>331</v>
      </c>
      <c r="C123" s="228">
        <v>2017</v>
      </c>
      <c r="D123" s="250">
        <f>I123</f>
        <v>0</v>
      </c>
      <c r="E123" s="251"/>
      <c r="F123" s="251"/>
      <c r="G123" s="251"/>
      <c r="H123" s="251"/>
      <c r="I123" s="251">
        <v>0</v>
      </c>
      <c r="J123" s="251"/>
      <c r="K123" s="251"/>
      <c r="L123" s="251"/>
      <c r="M123" s="251"/>
      <c r="N123" s="251"/>
      <c r="O123" s="250">
        <v>0</v>
      </c>
      <c r="P123" s="77"/>
      <c r="Q123" s="77"/>
      <c r="R123" s="77"/>
      <c r="S123" s="77"/>
      <c r="T123" s="77"/>
      <c r="U123" s="205"/>
      <c r="V123" s="77"/>
    </row>
    <row r="124" spans="1:22" s="65" customFormat="1" ht="21.75" customHeight="1">
      <c r="A124" s="77"/>
      <c r="B124" s="77"/>
      <c r="C124" s="228">
        <v>2018</v>
      </c>
      <c r="D124" s="250">
        <f aca="true" t="shared" si="14" ref="D124:D125">O124</f>
        <v>0</v>
      </c>
      <c r="E124" s="251"/>
      <c r="F124" s="251"/>
      <c r="G124" s="251"/>
      <c r="H124" s="251"/>
      <c r="I124" s="251">
        <v>0</v>
      </c>
      <c r="J124" s="251"/>
      <c r="K124" s="251"/>
      <c r="L124" s="251"/>
      <c r="M124" s="251"/>
      <c r="N124" s="251"/>
      <c r="O124" s="250">
        <v>0</v>
      </c>
      <c r="P124" s="77"/>
      <c r="Q124" s="77"/>
      <c r="R124" s="77"/>
      <c r="S124" s="77"/>
      <c r="T124" s="77"/>
      <c r="U124" s="205"/>
      <c r="V124" s="77"/>
    </row>
    <row r="125" spans="1:22" s="65" customFormat="1" ht="21.75" customHeight="1">
      <c r="A125" s="77"/>
      <c r="B125" s="77"/>
      <c r="C125" s="228">
        <v>2019</v>
      </c>
      <c r="D125" s="250">
        <f t="shared" si="14"/>
        <v>0</v>
      </c>
      <c r="E125" s="251"/>
      <c r="F125" s="251"/>
      <c r="G125" s="251"/>
      <c r="H125" s="251"/>
      <c r="I125" s="251">
        <v>0</v>
      </c>
      <c r="J125" s="251"/>
      <c r="K125" s="251"/>
      <c r="L125" s="251"/>
      <c r="M125" s="251"/>
      <c r="N125" s="251"/>
      <c r="O125" s="250">
        <v>0</v>
      </c>
      <c r="P125" s="77"/>
      <c r="Q125" s="77"/>
      <c r="R125" s="77"/>
      <c r="S125" s="77"/>
      <c r="T125" s="77"/>
      <c r="U125" s="205"/>
      <c r="V125" s="77"/>
    </row>
    <row r="126" spans="1:22" s="65" customFormat="1" ht="21.75" customHeight="1">
      <c r="A126" s="77"/>
      <c r="B126" s="77"/>
      <c r="C126" s="228">
        <v>2020</v>
      </c>
      <c r="D126" s="250">
        <f>P126+I126+O126</f>
        <v>335.97700000000003</v>
      </c>
      <c r="E126" s="251"/>
      <c r="F126" s="251"/>
      <c r="G126" s="251">
        <f aca="true" t="shared" si="15" ref="G126:G131">I126</f>
        <v>292.3</v>
      </c>
      <c r="H126" s="251"/>
      <c r="I126" s="251">
        <v>292.3</v>
      </c>
      <c r="J126" s="251"/>
      <c r="K126" s="251"/>
      <c r="L126" s="251"/>
      <c r="M126" s="251"/>
      <c r="N126" s="251"/>
      <c r="O126" s="250">
        <v>43.677</v>
      </c>
      <c r="P126" s="77"/>
      <c r="Q126" s="77"/>
      <c r="R126" s="77"/>
      <c r="S126" s="77"/>
      <c r="T126" s="77"/>
      <c r="U126" s="205" t="s">
        <v>163</v>
      </c>
      <c r="V126" s="77"/>
    </row>
    <row r="127" spans="1:22" s="65" customFormat="1" ht="21.75" customHeight="1">
      <c r="A127" s="77"/>
      <c r="B127" s="77"/>
      <c r="C127" s="228">
        <v>2021</v>
      </c>
      <c r="D127" s="250">
        <f aca="true" t="shared" si="16" ref="D127:D131">I127+O127</f>
        <v>258.966</v>
      </c>
      <c r="E127" s="251"/>
      <c r="F127" s="251"/>
      <c r="G127" s="251">
        <f t="shared" si="15"/>
        <v>225.3</v>
      </c>
      <c r="H127" s="251"/>
      <c r="I127" s="251">
        <v>225.3</v>
      </c>
      <c r="J127" s="251"/>
      <c r="K127" s="251"/>
      <c r="L127" s="251"/>
      <c r="M127" s="251"/>
      <c r="N127" s="251"/>
      <c r="O127" s="250">
        <v>33.666</v>
      </c>
      <c r="P127" s="77"/>
      <c r="Q127" s="77"/>
      <c r="R127" s="77"/>
      <c r="S127" s="77"/>
      <c r="T127" s="77"/>
      <c r="U127" s="205"/>
      <c r="V127" s="77"/>
    </row>
    <row r="128" spans="1:22" s="65" customFormat="1" ht="21.75" customHeight="1">
      <c r="A128" s="77"/>
      <c r="B128" s="77"/>
      <c r="C128" s="228">
        <v>2022</v>
      </c>
      <c r="D128" s="250">
        <f t="shared" si="16"/>
        <v>182.75900000000001</v>
      </c>
      <c r="E128" s="251"/>
      <c r="F128" s="251"/>
      <c r="G128" s="251">
        <f t="shared" si="15"/>
        <v>159</v>
      </c>
      <c r="H128" s="251"/>
      <c r="I128" s="251">
        <v>159</v>
      </c>
      <c r="J128" s="251"/>
      <c r="K128" s="251"/>
      <c r="L128" s="251"/>
      <c r="M128" s="251"/>
      <c r="N128" s="251"/>
      <c r="O128" s="250">
        <v>23.759</v>
      </c>
      <c r="P128" s="77"/>
      <c r="Q128" s="77"/>
      <c r="R128" s="77"/>
      <c r="S128" s="77"/>
      <c r="T128" s="77"/>
      <c r="U128" s="205"/>
      <c r="V128" s="77"/>
    </row>
    <row r="129" spans="1:22" s="65" customFormat="1" ht="21.75" customHeight="1">
      <c r="A129" s="77"/>
      <c r="B129" s="77"/>
      <c r="C129" s="230">
        <v>2023</v>
      </c>
      <c r="D129" s="256">
        <f t="shared" si="16"/>
        <v>100.1</v>
      </c>
      <c r="E129" s="257"/>
      <c r="F129" s="257"/>
      <c r="G129" s="257">
        <f t="shared" si="15"/>
        <v>87.1</v>
      </c>
      <c r="H129" s="257"/>
      <c r="I129" s="257">
        <v>87.1</v>
      </c>
      <c r="J129" s="257"/>
      <c r="K129" s="257"/>
      <c r="L129" s="257"/>
      <c r="M129" s="257"/>
      <c r="N129" s="257"/>
      <c r="O129" s="256">
        <v>13</v>
      </c>
      <c r="P129" s="77"/>
      <c r="Q129" s="77"/>
      <c r="R129" s="77"/>
      <c r="S129" s="77"/>
      <c r="T129" s="77"/>
      <c r="U129" s="205"/>
      <c r="V129" s="77"/>
    </row>
    <row r="130" spans="1:22" s="65" customFormat="1" ht="21.75" customHeight="1">
      <c r="A130" s="77"/>
      <c r="B130" s="77"/>
      <c r="C130" s="228">
        <v>2024</v>
      </c>
      <c r="D130" s="250">
        <f t="shared" si="16"/>
        <v>0</v>
      </c>
      <c r="E130" s="251"/>
      <c r="F130" s="251"/>
      <c r="G130" s="251">
        <f t="shared" si="15"/>
        <v>0</v>
      </c>
      <c r="H130" s="251"/>
      <c r="I130" s="251">
        <v>0</v>
      </c>
      <c r="J130" s="251"/>
      <c r="K130" s="251"/>
      <c r="L130" s="251"/>
      <c r="M130" s="251"/>
      <c r="N130" s="251"/>
      <c r="O130" s="250">
        <v>0</v>
      </c>
      <c r="P130" s="77"/>
      <c r="Q130" s="77"/>
      <c r="R130" s="77"/>
      <c r="S130" s="77"/>
      <c r="T130" s="77"/>
      <c r="U130" s="205"/>
      <c r="V130" s="77"/>
    </row>
    <row r="131" spans="1:22" s="65" customFormat="1" ht="21.75" customHeight="1">
      <c r="A131" s="77"/>
      <c r="B131" s="77"/>
      <c r="C131" s="228">
        <v>2025</v>
      </c>
      <c r="D131" s="250">
        <f t="shared" si="16"/>
        <v>0</v>
      </c>
      <c r="E131" s="251"/>
      <c r="F131" s="251"/>
      <c r="G131" s="251">
        <f t="shared" si="15"/>
        <v>0</v>
      </c>
      <c r="H131" s="251"/>
      <c r="I131" s="251">
        <v>0</v>
      </c>
      <c r="J131" s="251"/>
      <c r="K131" s="251"/>
      <c r="L131" s="251"/>
      <c r="M131" s="251"/>
      <c r="N131" s="251"/>
      <c r="O131" s="250">
        <v>0</v>
      </c>
      <c r="P131" s="77"/>
      <c r="Q131" s="77"/>
      <c r="R131" s="77"/>
      <c r="S131" s="77"/>
      <c r="T131" s="77"/>
      <c r="U131" s="205"/>
      <c r="V131" s="77"/>
    </row>
    <row r="132" spans="1:22" s="65" customFormat="1" ht="25.5" customHeight="1">
      <c r="A132" s="77" t="s">
        <v>135</v>
      </c>
      <c r="B132" s="258" t="s">
        <v>332</v>
      </c>
      <c r="C132" s="205">
        <v>2022</v>
      </c>
      <c r="D132" s="250">
        <f aca="true" t="shared" si="17" ref="D132:D135">O132</f>
        <v>3762.92308</v>
      </c>
      <c r="E132" s="251"/>
      <c r="F132" s="251"/>
      <c r="G132" s="251">
        <v>0</v>
      </c>
      <c r="H132" s="251"/>
      <c r="I132" s="251">
        <v>0</v>
      </c>
      <c r="J132" s="251"/>
      <c r="K132" s="251"/>
      <c r="L132" s="251"/>
      <c r="M132" s="251"/>
      <c r="N132" s="251"/>
      <c r="O132" s="250">
        <f>3762.92308</f>
        <v>3762.92308</v>
      </c>
      <c r="P132" s="77"/>
      <c r="Q132" s="77"/>
      <c r="R132" s="77"/>
      <c r="S132" s="77"/>
      <c r="T132" s="77"/>
      <c r="U132" s="205"/>
      <c r="V132" s="77"/>
    </row>
    <row r="133" spans="1:22" s="65" customFormat="1" ht="27" customHeight="1">
      <c r="A133" s="77"/>
      <c r="B133" s="258"/>
      <c r="C133" s="230">
        <v>2023</v>
      </c>
      <c r="D133" s="256">
        <f t="shared" si="17"/>
        <v>672.5117299999997</v>
      </c>
      <c r="E133" s="257"/>
      <c r="F133" s="257"/>
      <c r="G133" s="257">
        <v>0</v>
      </c>
      <c r="H133" s="257"/>
      <c r="I133" s="257">
        <v>0</v>
      </c>
      <c r="J133" s="257"/>
      <c r="K133" s="257"/>
      <c r="L133" s="257"/>
      <c r="M133" s="257"/>
      <c r="N133" s="257"/>
      <c r="O133" s="256">
        <f>2359.7-794.38-943.88+59.26253-8.1908</f>
        <v>672.5117299999997</v>
      </c>
      <c r="P133" s="77"/>
      <c r="Q133" s="77"/>
      <c r="R133" s="77"/>
      <c r="S133" s="77"/>
      <c r="T133" s="77"/>
      <c r="U133" s="205"/>
      <c r="V133" s="77"/>
    </row>
    <row r="134" spans="1:22" s="65" customFormat="1" ht="30" customHeight="1">
      <c r="A134" s="77"/>
      <c r="B134" s="258"/>
      <c r="C134" s="228">
        <v>2024</v>
      </c>
      <c r="D134" s="250">
        <f t="shared" si="17"/>
        <v>0</v>
      </c>
      <c r="E134" s="251"/>
      <c r="F134" s="251"/>
      <c r="G134" s="251">
        <v>0</v>
      </c>
      <c r="H134" s="251"/>
      <c r="I134" s="251">
        <v>0</v>
      </c>
      <c r="J134" s="251"/>
      <c r="K134" s="251"/>
      <c r="L134" s="251"/>
      <c r="M134" s="251"/>
      <c r="N134" s="251"/>
      <c r="O134" s="250">
        <v>0</v>
      </c>
      <c r="P134" s="77"/>
      <c r="Q134" s="77"/>
      <c r="R134" s="77"/>
      <c r="S134" s="77"/>
      <c r="T134" s="77"/>
      <c r="U134" s="205"/>
      <c r="V134" s="77"/>
    </row>
    <row r="135" spans="1:22" s="65" customFormat="1" ht="30" customHeight="1">
      <c r="A135" s="77"/>
      <c r="B135" s="258"/>
      <c r="C135" s="228">
        <v>2025</v>
      </c>
      <c r="D135" s="250">
        <f t="shared" si="17"/>
        <v>0</v>
      </c>
      <c r="E135" s="251"/>
      <c r="F135" s="259"/>
      <c r="G135" s="251">
        <v>0</v>
      </c>
      <c r="H135" s="251"/>
      <c r="I135" s="251">
        <v>0</v>
      </c>
      <c r="J135" s="251"/>
      <c r="K135" s="251"/>
      <c r="L135" s="251"/>
      <c r="M135" s="251"/>
      <c r="N135" s="251"/>
      <c r="O135" s="250">
        <v>0</v>
      </c>
      <c r="P135" s="77"/>
      <c r="Q135" s="77"/>
      <c r="R135" s="77"/>
      <c r="S135" s="77"/>
      <c r="T135" s="77"/>
      <c r="U135" s="205"/>
      <c r="V135" s="77"/>
    </row>
    <row r="136" spans="1:22" s="65" customFormat="1" ht="30" customHeight="1">
      <c r="A136" s="155" t="s">
        <v>138</v>
      </c>
      <c r="B136" s="95" t="s">
        <v>333</v>
      </c>
      <c r="C136" s="92">
        <v>2021</v>
      </c>
      <c r="D136" s="131">
        <v>0</v>
      </c>
      <c r="E136" s="174"/>
      <c r="G136" s="260">
        <v>0</v>
      </c>
      <c r="H136" s="260"/>
      <c r="I136" s="260"/>
      <c r="J136" s="261">
        <v>0</v>
      </c>
      <c r="K136" s="262" t="s">
        <v>173</v>
      </c>
      <c r="L136" s="263"/>
      <c r="M136" s="263"/>
      <c r="N136" s="263"/>
      <c r="O136" s="131">
        <v>0</v>
      </c>
      <c r="P136" s="77"/>
      <c r="Q136" s="77"/>
      <c r="R136" s="77"/>
      <c r="S136" s="77"/>
      <c r="T136" s="77"/>
      <c r="U136" s="264"/>
      <c r="V136" s="77"/>
    </row>
    <row r="137" spans="1:25" s="65" customFormat="1" ht="30" customHeight="1">
      <c r="A137" s="155"/>
      <c r="B137" s="95"/>
      <c r="C137" s="92">
        <v>2022</v>
      </c>
      <c r="D137" s="131">
        <f aca="true" t="shared" si="18" ref="D137:D138">O137</f>
        <v>4084.368</v>
      </c>
      <c r="E137" s="174"/>
      <c r="G137" s="260">
        <v>0</v>
      </c>
      <c r="H137" s="260"/>
      <c r="I137" s="260"/>
      <c r="J137" s="261">
        <v>0</v>
      </c>
      <c r="K137" s="262" t="s">
        <v>173</v>
      </c>
      <c r="L137" s="263"/>
      <c r="M137" s="263"/>
      <c r="N137" s="263"/>
      <c r="O137" s="260">
        <f>4084.368</f>
        <v>4084.368</v>
      </c>
      <c r="P137" s="77"/>
      <c r="Q137" s="77"/>
      <c r="R137" s="77"/>
      <c r="S137" s="77"/>
      <c r="T137" s="77"/>
      <c r="U137" s="265" t="s">
        <v>173</v>
      </c>
      <c r="V137" s="77"/>
      <c r="X137" s="266"/>
      <c r="Y137" s="266"/>
    </row>
    <row r="138" spans="1:25" s="65" customFormat="1" ht="30" customHeight="1">
      <c r="A138" s="155"/>
      <c r="B138" s="95"/>
      <c r="C138" s="267">
        <v>2023</v>
      </c>
      <c r="D138" s="138">
        <f t="shared" si="18"/>
        <v>476.00147</v>
      </c>
      <c r="E138" s="268"/>
      <c r="F138" s="269"/>
      <c r="G138" s="270">
        <v>0</v>
      </c>
      <c r="H138" s="270"/>
      <c r="I138" s="270"/>
      <c r="J138" s="271">
        <v>0</v>
      </c>
      <c r="K138" s="272"/>
      <c r="L138" s="273"/>
      <c r="M138" s="273"/>
      <c r="N138" s="273"/>
      <c r="O138" s="270">
        <f>476.00147</f>
        <v>476.00147</v>
      </c>
      <c r="P138" s="77"/>
      <c r="Q138" s="77"/>
      <c r="R138" s="77"/>
      <c r="S138" s="77"/>
      <c r="T138" s="77"/>
      <c r="U138" s="265" t="s">
        <v>173</v>
      </c>
      <c r="V138" s="77"/>
      <c r="X138" s="266"/>
      <c r="Y138" s="266"/>
    </row>
    <row r="139" spans="1:22" s="65" customFormat="1" ht="30" customHeight="1">
      <c r="A139" s="155"/>
      <c r="B139" s="95"/>
      <c r="C139" s="92">
        <v>2024</v>
      </c>
      <c r="D139" s="131">
        <v>0</v>
      </c>
      <c r="E139" s="174"/>
      <c r="G139" s="260">
        <v>0</v>
      </c>
      <c r="H139" s="260"/>
      <c r="I139" s="260"/>
      <c r="J139" s="261">
        <v>0</v>
      </c>
      <c r="K139" s="274"/>
      <c r="L139" s="263"/>
      <c r="M139" s="263"/>
      <c r="N139" s="263"/>
      <c r="O139" s="260">
        <v>0</v>
      </c>
      <c r="P139" s="77"/>
      <c r="Q139" s="77"/>
      <c r="R139" s="77"/>
      <c r="S139" s="77"/>
      <c r="T139" s="77"/>
      <c r="U139" s="264"/>
      <c r="V139" s="77"/>
    </row>
    <row r="140" spans="1:22" s="65" customFormat="1" ht="30" customHeight="1">
      <c r="A140" s="155"/>
      <c r="B140" s="95"/>
      <c r="C140" s="92">
        <v>2025</v>
      </c>
      <c r="D140" s="131">
        <f>G140+O140</f>
        <v>0</v>
      </c>
      <c r="E140" s="174"/>
      <c r="G140" s="260">
        <v>0</v>
      </c>
      <c r="H140" s="260"/>
      <c r="I140" s="260"/>
      <c r="J140" s="261"/>
      <c r="K140" s="274"/>
      <c r="L140" s="263"/>
      <c r="M140" s="263"/>
      <c r="N140" s="263"/>
      <c r="O140" s="260">
        <v>0</v>
      </c>
      <c r="P140" s="77"/>
      <c r="Q140" s="77"/>
      <c r="R140" s="77"/>
      <c r="S140" s="77"/>
      <c r="T140" s="77"/>
      <c r="U140" s="275"/>
      <c r="V140" s="77"/>
    </row>
    <row r="141" spans="1:22" s="65" customFormat="1" ht="14.25" customHeight="1">
      <c r="A141" s="237" t="s">
        <v>334</v>
      </c>
      <c r="B141" s="237"/>
      <c r="C141" s="276">
        <v>2017</v>
      </c>
      <c r="D141" s="277">
        <f aca="true" t="shared" si="19" ref="D141:D142">O141</f>
        <v>0</v>
      </c>
      <c r="E141" s="251"/>
      <c r="F141" s="251"/>
      <c r="G141" s="251"/>
      <c r="H141" s="251"/>
      <c r="I141" s="251">
        <v>0</v>
      </c>
      <c r="J141" s="251"/>
      <c r="K141" s="251"/>
      <c r="L141" s="251"/>
      <c r="M141" s="251"/>
      <c r="N141" s="251"/>
      <c r="O141" s="277">
        <f>O87</f>
        <v>0</v>
      </c>
      <c r="P141" s="77"/>
      <c r="Q141" s="77"/>
      <c r="R141" s="77"/>
      <c r="S141" s="77"/>
      <c r="T141" s="77"/>
      <c r="U141" s="208"/>
      <c r="V141" s="84"/>
    </row>
    <row r="142" spans="1:22" s="65" customFormat="1" ht="14.25">
      <c r="A142" s="237"/>
      <c r="B142" s="237"/>
      <c r="C142" s="276">
        <v>2018</v>
      </c>
      <c r="D142" s="277">
        <f t="shared" si="19"/>
        <v>70</v>
      </c>
      <c r="E142" s="278"/>
      <c r="F142" s="278"/>
      <c r="G142" s="278"/>
      <c r="H142" s="278"/>
      <c r="I142" s="278">
        <v>0</v>
      </c>
      <c r="J142" s="278"/>
      <c r="K142" s="278"/>
      <c r="L142" s="278"/>
      <c r="M142" s="278"/>
      <c r="N142" s="278"/>
      <c r="O142" s="277">
        <f>O97</f>
        <v>70</v>
      </c>
      <c r="P142" s="77"/>
      <c r="Q142" s="77"/>
      <c r="R142" s="77"/>
      <c r="S142" s="77"/>
      <c r="T142" s="77"/>
      <c r="U142" s="208"/>
      <c r="V142" s="84"/>
    </row>
    <row r="143" spans="1:22" s="65" customFormat="1" ht="14.25">
      <c r="A143" s="237"/>
      <c r="B143" s="237"/>
      <c r="C143" s="276">
        <v>2019</v>
      </c>
      <c r="D143" s="277">
        <f>I143+O143+H143</f>
        <v>4991.084999999999</v>
      </c>
      <c r="E143" s="278"/>
      <c r="F143" s="278"/>
      <c r="G143" s="278">
        <f>G107+G89</f>
        <v>4738.099999999999</v>
      </c>
      <c r="H143" s="278">
        <f>H89</f>
        <v>4407.4</v>
      </c>
      <c r="I143" s="278">
        <f>I89+I107</f>
        <v>330.7</v>
      </c>
      <c r="J143" s="278"/>
      <c r="K143" s="278"/>
      <c r="L143" s="278"/>
      <c r="M143" s="278"/>
      <c r="N143" s="278"/>
      <c r="O143" s="277">
        <f>O89+O107</f>
        <v>252.98499999999999</v>
      </c>
      <c r="P143" s="77"/>
      <c r="Q143" s="77"/>
      <c r="R143" s="77"/>
      <c r="S143" s="77"/>
      <c r="T143" s="77"/>
      <c r="U143" s="208"/>
      <c r="V143" s="84"/>
    </row>
    <row r="144" spans="1:22" s="65" customFormat="1" ht="14.25">
      <c r="A144" s="237"/>
      <c r="B144" s="237"/>
      <c r="C144" s="276">
        <v>2020</v>
      </c>
      <c r="D144" s="277">
        <f>O144+I144</f>
        <v>670.8050000000001</v>
      </c>
      <c r="E144" s="278"/>
      <c r="F144" s="278"/>
      <c r="G144" s="278">
        <f aca="true" t="shared" si="20" ref="G144:G146">I144</f>
        <v>583.6</v>
      </c>
      <c r="H144" s="278"/>
      <c r="I144" s="278">
        <f aca="true" t="shared" si="21" ref="I144:I146">I126+I117</f>
        <v>583.6</v>
      </c>
      <c r="J144" s="278"/>
      <c r="K144" s="278"/>
      <c r="L144" s="278"/>
      <c r="M144" s="278"/>
      <c r="N144" s="278"/>
      <c r="O144" s="277">
        <f>O126+O117</f>
        <v>87.205</v>
      </c>
      <c r="P144" s="77"/>
      <c r="Q144" s="77"/>
      <c r="R144" s="77"/>
      <c r="S144" s="77"/>
      <c r="T144" s="77"/>
      <c r="U144" s="208"/>
      <c r="V144" s="84"/>
    </row>
    <row r="145" spans="1:22" s="65" customFormat="1" ht="14.25">
      <c r="A145" s="237"/>
      <c r="B145" s="237"/>
      <c r="C145" s="276">
        <v>2021</v>
      </c>
      <c r="D145" s="277">
        <f>I145+O145</f>
        <v>603.794</v>
      </c>
      <c r="E145" s="278"/>
      <c r="F145" s="278"/>
      <c r="G145" s="278">
        <f t="shared" si="20"/>
        <v>525.3</v>
      </c>
      <c r="H145" s="278"/>
      <c r="I145" s="278">
        <f t="shared" si="21"/>
        <v>525.3</v>
      </c>
      <c r="J145" s="278"/>
      <c r="K145" s="278"/>
      <c r="L145" s="278"/>
      <c r="M145" s="278"/>
      <c r="N145" s="278"/>
      <c r="O145" s="277">
        <f>0+O118+O127</f>
        <v>78.494</v>
      </c>
      <c r="P145" s="77"/>
      <c r="Q145" s="77"/>
      <c r="R145" s="77"/>
      <c r="S145" s="77"/>
      <c r="T145" s="77"/>
      <c r="U145" s="264"/>
      <c r="V145" s="235"/>
    </row>
    <row r="146" spans="1:22" s="65" customFormat="1" ht="14.25">
      <c r="A146" s="237"/>
      <c r="B146" s="237"/>
      <c r="C146" s="276">
        <v>2022</v>
      </c>
      <c r="D146" s="277">
        <f>O146+I146</f>
        <v>8030.05008</v>
      </c>
      <c r="E146" s="278"/>
      <c r="F146" s="278"/>
      <c r="G146" s="278">
        <f t="shared" si="20"/>
        <v>159</v>
      </c>
      <c r="H146" s="278"/>
      <c r="I146" s="278">
        <f t="shared" si="21"/>
        <v>159</v>
      </c>
      <c r="J146" s="278"/>
      <c r="K146" s="278"/>
      <c r="L146" s="278"/>
      <c r="M146" s="278"/>
      <c r="N146" s="278"/>
      <c r="O146" s="277">
        <f>O128+O132+O137</f>
        <v>7871.05008</v>
      </c>
      <c r="P146" s="77"/>
      <c r="Q146" s="77"/>
      <c r="R146" s="77"/>
      <c r="S146" s="77"/>
      <c r="T146" s="77"/>
      <c r="U146" s="264"/>
      <c r="V146" s="235"/>
    </row>
    <row r="147" spans="1:22" s="65" customFormat="1" ht="14.25">
      <c r="A147" s="237"/>
      <c r="B147" s="237"/>
      <c r="C147" s="279">
        <v>2023</v>
      </c>
      <c r="D147" s="280">
        <f>O147+G147</f>
        <v>1248.6131999999996</v>
      </c>
      <c r="E147" s="281"/>
      <c r="F147" s="281"/>
      <c r="G147" s="281">
        <f>I147+H147</f>
        <v>87.1</v>
      </c>
      <c r="H147" s="281">
        <f>H138+H133+H129</f>
        <v>0</v>
      </c>
      <c r="I147" s="281">
        <f>I129+I133+I138+I93</f>
        <v>87.1</v>
      </c>
      <c r="J147" s="281"/>
      <c r="K147" s="281"/>
      <c r="L147" s="281"/>
      <c r="M147" s="281"/>
      <c r="N147" s="281"/>
      <c r="O147" s="280">
        <f>O129+O133+O138+O93</f>
        <v>1161.5131999999996</v>
      </c>
      <c r="P147" s="77"/>
      <c r="Q147" s="77"/>
      <c r="R147" s="77"/>
      <c r="S147" s="77"/>
      <c r="T147" s="77"/>
      <c r="U147" s="264"/>
      <c r="V147" s="235"/>
    </row>
    <row r="148" spans="1:22" s="65" customFormat="1" ht="14.25">
      <c r="A148" s="237"/>
      <c r="B148" s="237"/>
      <c r="C148" s="276">
        <v>2024</v>
      </c>
      <c r="D148" s="277">
        <f>O148+I148</f>
        <v>0</v>
      </c>
      <c r="E148" s="278"/>
      <c r="F148" s="278"/>
      <c r="G148" s="278">
        <f>I148</f>
        <v>0</v>
      </c>
      <c r="H148" s="278"/>
      <c r="I148" s="278">
        <f>I130</f>
        <v>0</v>
      </c>
      <c r="J148" s="282"/>
      <c r="K148" s="282"/>
      <c r="L148" s="282"/>
      <c r="M148" s="282"/>
      <c r="N148" s="282"/>
      <c r="O148" s="277">
        <f>O130+O134</f>
        <v>0</v>
      </c>
      <c r="P148" s="283"/>
      <c r="Q148" s="283"/>
      <c r="R148" s="283"/>
      <c r="S148" s="283"/>
      <c r="T148" s="283"/>
      <c r="U148" s="205"/>
      <c r="V148" s="77"/>
    </row>
    <row r="149" spans="1:22" s="65" customFormat="1" ht="14.25">
      <c r="A149" s="237"/>
      <c r="B149" s="237"/>
      <c r="C149" s="276">
        <v>2025</v>
      </c>
      <c r="D149" s="277">
        <f>O149+E149+G149</f>
        <v>0</v>
      </c>
      <c r="E149" s="278"/>
      <c r="F149" s="278"/>
      <c r="G149" s="278">
        <f>I149+H149</f>
        <v>0</v>
      </c>
      <c r="H149" s="278"/>
      <c r="I149" s="278">
        <f>I131+I140+I135+I122+I113+I104+I95</f>
        <v>0</v>
      </c>
      <c r="J149" s="282"/>
      <c r="K149" s="282"/>
      <c r="L149" s="282"/>
      <c r="M149" s="282"/>
      <c r="N149" s="282"/>
      <c r="O149" s="277">
        <f>O131+O135+O140+O122+O113+O104+O95</f>
        <v>0</v>
      </c>
      <c r="P149" s="283"/>
      <c r="Q149" s="283"/>
      <c r="R149" s="283"/>
      <c r="S149" s="283"/>
      <c r="T149" s="283"/>
      <c r="U149" s="205"/>
      <c r="V149" s="77"/>
    </row>
    <row r="150" spans="1:22" s="65" customFormat="1" ht="14.25">
      <c r="A150" s="237"/>
      <c r="B150" s="237"/>
      <c r="C150" s="276" t="s">
        <v>298</v>
      </c>
      <c r="D150" s="277">
        <f>SUM(D141:D149)</f>
        <v>15614.347279999998</v>
      </c>
      <c r="E150" s="278"/>
      <c r="F150" s="278"/>
      <c r="G150" s="278">
        <f>SUM(G141:G149)</f>
        <v>6093.099999999999</v>
      </c>
      <c r="H150" s="278">
        <f>SUM(H141:H149)</f>
        <v>4407.4</v>
      </c>
      <c r="I150" s="278">
        <f>SUM(I141:I149)</f>
        <v>1685.7</v>
      </c>
      <c r="J150" s="282"/>
      <c r="K150" s="282"/>
      <c r="L150" s="282"/>
      <c r="M150" s="282"/>
      <c r="N150" s="282"/>
      <c r="O150" s="277">
        <f>SUM(O141:O149)</f>
        <v>9521.24728</v>
      </c>
      <c r="P150" s="283"/>
      <c r="Q150" s="283"/>
      <c r="R150" s="283"/>
      <c r="S150" s="283"/>
      <c r="T150" s="283"/>
      <c r="U150" s="205"/>
      <c r="V150" s="77"/>
    </row>
    <row r="151" spans="1:22" s="65" customFormat="1" ht="17.25" customHeight="1">
      <c r="A151" s="284" t="s">
        <v>335</v>
      </c>
      <c r="B151" s="284"/>
      <c r="C151" s="284"/>
      <c r="D151" s="284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 s="284"/>
      <c r="U151" s="284"/>
      <c r="V151" s="284"/>
    </row>
    <row r="152" spans="1:22" s="65" customFormat="1" ht="30" customHeight="1">
      <c r="A152" s="93" t="s">
        <v>274</v>
      </c>
      <c r="B152" s="285" t="s">
        <v>336</v>
      </c>
      <c r="C152" s="285"/>
      <c r="D152" s="285"/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5"/>
      <c r="P152" s="285"/>
      <c r="Q152" s="285"/>
      <c r="R152" s="285"/>
      <c r="S152" s="285"/>
      <c r="T152" s="285"/>
      <c r="U152" s="285"/>
      <c r="V152" s="285"/>
    </row>
    <row r="153" spans="1:22" s="65" customFormat="1" ht="14.25" customHeight="1">
      <c r="A153" s="286" t="s">
        <v>270</v>
      </c>
      <c r="B153" s="95" t="s">
        <v>280</v>
      </c>
      <c r="C153" s="82">
        <v>2017</v>
      </c>
      <c r="D153" s="234">
        <f>H153+I153+J153</f>
        <v>0</v>
      </c>
      <c r="E153" s="234">
        <v>0</v>
      </c>
      <c r="F153" s="234">
        <f aca="true" t="shared" si="22" ref="F153:F156">G153+H153</f>
        <v>0</v>
      </c>
      <c r="G153" s="234"/>
      <c r="H153" s="234">
        <v>0</v>
      </c>
      <c r="I153" s="234">
        <v>0</v>
      </c>
      <c r="J153" s="287">
        <v>0</v>
      </c>
      <c r="K153" s="288" t="s">
        <v>148</v>
      </c>
      <c r="L153" s="278"/>
      <c r="M153" s="278"/>
      <c r="N153" s="278"/>
      <c r="O153" s="277"/>
      <c r="P153" s="234"/>
      <c r="Q153" s="77"/>
      <c r="R153" s="77"/>
      <c r="S153" s="77"/>
      <c r="T153" s="77"/>
      <c r="U153" s="289" t="s">
        <v>337</v>
      </c>
      <c r="V153" s="235"/>
    </row>
    <row r="154" spans="1:22" s="65" customFormat="1" ht="14.25">
      <c r="A154" s="286"/>
      <c r="B154" s="95"/>
      <c r="C154" s="82">
        <v>2018</v>
      </c>
      <c r="D154" s="234">
        <f aca="true" t="shared" si="23" ref="D154:D156">I154</f>
        <v>0</v>
      </c>
      <c r="E154" s="234">
        <v>0</v>
      </c>
      <c r="F154" s="234">
        <f t="shared" si="22"/>
        <v>0</v>
      </c>
      <c r="G154" s="234"/>
      <c r="H154" s="234">
        <v>0</v>
      </c>
      <c r="I154" s="234">
        <v>0</v>
      </c>
      <c r="J154" s="290">
        <v>1732.15609</v>
      </c>
      <c r="K154" s="288"/>
      <c r="L154" s="278"/>
      <c r="M154" s="278"/>
      <c r="N154" s="278"/>
      <c r="O154" s="277"/>
      <c r="P154" s="77"/>
      <c r="Q154" s="77"/>
      <c r="R154" s="77"/>
      <c r="S154" s="77"/>
      <c r="T154" s="77"/>
      <c r="U154" s="289"/>
      <c r="V154" s="235"/>
    </row>
    <row r="155" spans="1:22" s="65" customFormat="1" ht="14.25">
      <c r="A155" s="286"/>
      <c r="B155" s="95"/>
      <c r="C155" s="82">
        <v>2019</v>
      </c>
      <c r="D155" s="234">
        <f t="shared" si="23"/>
        <v>0</v>
      </c>
      <c r="E155" s="234">
        <v>0</v>
      </c>
      <c r="F155" s="234">
        <f t="shared" si="22"/>
        <v>0</v>
      </c>
      <c r="G155" s="234"/>
      <c r="H155" s="234">
        <v>0</v>
      </c>
      <c r="I155" s="234">
        <v>0</v>
      </c>
      <c r="J155" s="290">
        <f>1926.5597+250</f>
        <v>2176.5597</v>
      </c>
      <c r="K155" s="288"/>
      <c r="L155" s="278"/>
      <c r="M155" s="278"/>
      <c r="N155" s="278"/>
      <c r="O155" s="277"/>
      <c r="P155" s="234"/>
      <c r="Q155" s="77"/>
      <c r="R155" s="77"/>
      <c r="S155" s="77"/>
      <c r="T155" s="77"/>
      <c r="U155" s="289"/>
      <c r="V155" s="235"/>
    </row>
    <row r="156" spans="1:22" s="65" customFormat="1" ht="14.25">
      <c r="A156" s="286"/>
      <c r="B156" s="95"/>
      <c r="C156" s="82">
        <v>2020</v>
      </c>
      <c r="D156" s="234">
        <f t="shared" si="23"/>
        <v>0</v>
      </c>
      <c r="E156" s="234">
        <v>0</v>
      </c>
      <c r="F156" s="234">
        <f t="shared" si="22"/>
        <v>0</v>
      </c>
      <c r="G156" s="234"/>
      <c r="H156" s="234">
        <v>0</v>
      </c>
      <c r="I156" s="234">
        <v>0</v>
      </c>
      <c r="J156" s="290">
        <f>2210.8002</f>
        <v>2210.8002</v>
      </c>
      <c r="K156" s="288"/>
      <c r="L156" s="278"/>
      <c r="M156" s="278"/>
      <c r="N156" s="278"/>
      <c r="O156" s="277"/>
      <c r="P156" s="77"/>
      <c r="Q156" s="77"/>
      <c r="R156" s="77"/>
      <c r="S156" s="77"/>
      <c r="T156" s="77"/>
      <c r="U156" s="289"/>
      <c r="V156" s="235"/>
    </row>
    <row r="157" spans="1:22" s="65" customFormat="1" ht="14.25">
      <c r="A157" s="286"/>
      <c r="B157" s="95"/>
      <c r="C157" s="82">
        <v>2021</v>
      </c>
      <c r="D157" s="234">
        <f>F157+I157+J157+O157+P157</f>
        <v>19137.06978</v>
      </c>
      <c r="E157" s="234">
        <v>0</v>
      </c>
      <c r="F157" s="234">
        <f aca="true" t="shared" si="24" ref="F157:F159">H157</f>
        <v>0</v>
      </c>
      <c r="G157" s="234">
        <f aca="true" t="shared" si="25" ref="G157:G160">I157</f>
        <v>568.35</v>
      </c>
      <c r="H157" s="234">
        <v>0</v>
      </c>
      <c r="I157" s="234">
        <v>568.35</v>
      </c>
      <c r="J157" s="290"/>
      <c r="K157" s="288"/>
      <c r="L157" s="278"/>
      <c r="M157" s="278"/>
      <c r="N157" s="278"/>
      <c r="O157" s="250">
        <f>16099.08921+234.56463-30.03406+65.1</f>
        <v>16368.719780000001</v>
      </c>
      <c r="P157" s="179">
        <v>2200</v>
      </c>
      <c r="Q157" s="77"/>
      <c r="R157" s="77"/>
      <c r="S157" s="77"/>
      <c r="T157" s="77"/>
      <c r="U157" s="289"/>
      <c r="V157" s="235"/>
    </row>
    <row r="158" spans="1:22" s="65" customFormat="1" ht="14.25">
      <c r="A158" s="286"/>
      <c r="B158" s="95"/>
      <c r="C158" s="82">
        <v>2022</v>
      </c>
      <c r="D158" s="234">
        <f>G158+O158+P158</f>
        <v>18825.25618</v>
      </c>
      <c r="E158" s="234">
        <v>0</v>
      </c>
      <c r="F158" s="234">
        <f t="shared" si="24"/>
        <v>0</v>
      </c>
      <c r="G158" s="234">
        <f t="shared" si="25"/>
        <v>781.717</v>
      </c>
      <c r="H158" s="234">
        <v>0</v>
      </c>
      <c r="I158" s="234">
        <f>769.976+11.741</f>
        <v>781.717</v>
      </c>
      <c r="J158" s="234"/>
      <c r="K158" s="288"/>
      <c r="L158" s="278"/>
      <c r="M158" s="278"/>
      <c r="N158" s="278"/>
      <c r="O158" s="250">
        <f>15059.56718</f>
        <v>15059.56718</v>
      </c>
      <c r="P158" s="179">
        <f>2200+783.972</f>
        <v>2983.9719999999998</v>
      </c>
      <c r="Q158" s="77"/>
      <c r="R158" s="77"/>
      <c r="S158" s="77"/>
      <c r="T158" s="77"/>
      <c r="U158" s="289"/>
      <c r="V158" s="235"/>
    </row>
    <row r="159" spans="1:22" s="65" customFormat="1" ht="14.25">
      <c r="A159" s="286"/>
      <c r="B159" s="95"/>
      <c r="C159" s="101">
        <v>2023</v>
      </c>
      <c r="D159" s="291">
        <f>I159+O159+P159</f>
        <v>19939.449499999995</v>
      </c>
      <c r="E159" s="291">
        <v>0</v>
      </c>
      <c r="F159" s="291">
        <f t="shared" si="24"/>
        <v>0</v>
      </c>
      <c r="G159" s="291">
        <f t="shared" si="25"/>
        <v>1033.7657800000002</v>
      </c>
      <c r="H159" s="291">
        <v>0</v>
      </c>
      <c r="I159" s="291">
        <f>794.5+40.409+39.06+159.79678</f>
        <v>1033.7657800000002</v>
      </c>
      <c r="J159" s="290"/>
      <c r="K159" s="288"/>
      <c r="L159" s="278"/>
      <c r="M159" s="278"/>
      <c r="N159" s="278"/>
      <c r="O159" s="256">
        <f>15676.974+891.09+1271.21+19.873-1756-2359.7+794.38-39.43157+943.88+36.79843+17.42486-76.69-89.47193-46.865-23.87722+23.87722</f>
        <v>15283.471789999994</v>
      </c>
      <c r="P159" s="218">
        <v>3622.21193</v>
      </c>
      <c r="Q159" s="77"/>
      <c r="R159" s="77"/>
      <c r="S159" s="77"/>
      <c r="T159" s="77"/>
      <c r="U159" s="289"/>
      <c r="V159" s="235"/>
    </row>
    <row r="160" spans="1:22" s="65" customFormat="1" ht="14.25">
      <c r="A160" s="286"/>
      <c r="B160" s="95"/>
      <c r="C160" s="82">
        <v>2024</v>
      </c>
      <c r="D160" s="234">
        <f>G160+O160+P160</f>
        <v>18033.945</v>
      </c>
      <c r="E160" s="234">
        <v>0</v>
      </c>
      <c r="F160" s="234"/>
      <c r="G160" s="234">
        <f t="shared" si="25"/>
        <v>794.5</v>
      </c>
      <c r="H160" s="234">
        <v>0</v>
      </c>
      <c r="I160" s="234">
        <v>794.5</v>
      </c>
      <c r="J160" s="290"/>
      <c r="K160" s="288"/>
      <c r="L160" s="278"/>
      <c r="M160" s="278"/>
      <c r="N160" s="278"/>
      <c r="O160" s="250">
        <f>12861.445+906.79+1271.21</f>
        <v>15039.445</v>
      </c>
      <c r="P160" s="179">
        <v>2200</v>
      </c>
      <c r="Q160" s="77"/>
      <c r="R160" s="77"/>
      <c r="S160" s="77"/>
      <c r="T160" s="77"/>
      <c r="U160" s="289"/>
      <c r="V160" s="235"/>
    </row>
    <row r="161" spans="1:22" s="65" customFormat="1" ht="14.25">
      <c r="A161" s="286"/>
      <c r="B161" s="95"/>
      <c r="C161" s="82">
        <v>2025</v>
      </c>
      <c r="D161" s="234">
        <f aca="true" t="shared" si="26" ref="D161:D169">E161+G161+O161+P161</f>
        <v>18000.835</v>
      </c>
      <c r="E161" s="234">
        <v>0</v>
      </c>
      <c r="F161" s="234"/>
      <c r="G161" s="234">
        <f>I161+H161</f>
        <v>794.5</v>
      </c>
      <c r="H161" s="234">
        <v>0</v>
      </c>
      <c r="I161" s="234">
        <v>794.5</v>
      </c>
      <c r="J161" s="290"/>
      <c r="K161" s="288"/>
      <c r="L161" s="278"/>
      <c r="M161" s="278"/>
      <c r="N161" s="278"/>
      <c r="O161" s="250">
        <f>12828.335+906.79+1271.21</f>
        <v>15006.335</v>
      </c>
      <c r="P161" s="179">
        <v>2200</v>
      </c>
      <c r="Q161" s="77"/>
      <c r="R161" s="77"/>
      <c r="S161" s="77"/>
      <c r="T161" s="77"/>
      <c r="U161" s="289"/>
      <c r="V161" s="235"/>
    </row>
    <row r="162" spans="1:22" s="65" customFormat="1" ht="15" customHeight="1">
      <c r="A162" s="286" t="s">
        <v>338</v>
      </c>
      <c r="B162" s="95" t="s">
        <v>339</v>
      </c>
      <c r="C162" s="82">
        <v>2017</v>
      </c>
      <c r="D162" s="234">
        <f t="shared" si="26"/>
        <v>0</v>
      </c>
      <c r="E162" s="234">
        <v>0</v>
      </c>
      <c r="F162" s="234">
        <f aca="true" t="shared" si="27" ref="F162:F165">G162+H162</f>
        <v>0</v>
      </c>
      <c r="G162" s="234"/>
      <c r="H162" s="234">
        <v>0</v>
      </c>
      <c r="I162" s="234">
        <v>0</v>
      </c>
      <c r="J162" s="287">
        <v>0</v>
      </c>
      <c r="K162" s="288" t="s">
        <v>148</v>
      </c>
      <c r="L162" s="278"/>
      <c r="M162" s="278"/>
      <c r="N162" s="278"/>
      <c r="O162" s="234">
        <v>0</v>
      </c>
      <c r="P162" s="234">
        <v>0</v>
      </c>
      <c r="Q162" s="77"/>
      <c r="R162" s="77"/>
      <c r="S162" s="77"/>
      <c r="T162" s="77"/>
      <c r="U162" s="289"/>
      <c r="V162" s="235"/>
    </row>
    <row r="163" spans="1:22" s="65" customFormat="1" ht="14.25">
      <c r="A163" s="286"/>
      <c r="B163" s="95"/>
      <c r="C163" s="82">
        <v>2018</v>
      </c>
      <c r="D163" s="234">
        <f t="shared" si="26"/>
        <v>0</v>
      </c>
      <c r="E163" s="234">
        <v>0</v>
      </c>
      <c r="F163" s="234">
        <f t="shared" si="27"/>
        <v>0</v>
      </c>
      <c r="G163" s="234"/>
      <c r="H163" s="234">
        <v>0</v>
      </c>
      <c r="I163" s="234">
        <v>0</v>
      </c>
      <c r="J163" s="290">
        <v>1732.15609</v>
      </c>
      <c r="K163" s="288"/>
      <c r="L163" s="278"/>
      <c r="M163" s="278"/>
      <c r="N163" s="278"/>
      <c r="O163" s="234">
        <v>0</v>
      </c>
      <c r="P163" s="234">
        <v>0</v>
      </c>
      <c r="Q163" s="77"/>
      <c r="R163" s="77"/>
      <c r="S163" s="77"/>
      <c r="T163" s="77"/>
      <c r="U163" s="289"/>
      <c r="V163" s="235"/>
    </row>
    <row r="164" spans="1:22" s="65" customFormat="1" ht="14.25">
      <c r="A164" s="286"/>
      <c r="B164" s="95"/>
      <c r="C164" s="82">
        <v>2019</v>
      </c>
      <c r="D164" s="234">
        <f t="shared" si="26"/>
        <v>0</v>
      </c>
      <c r="E164" s="234">
        <v>0</v>
      </c>
      <c r="F164" s="234">
        <f t="shared" si="27"/>
        <v>0</v>
      </c>
      <c r="G164" s="234"/>
      <c r="H164" s="234">
        <v>0</v>
      </c>
      <c r="I164" s="234">
        <v>0</v>
      </c>
      <c r="J164" s="290">
        <f>1926.5597+250</f>
        <v>2176.5597</v>
      </c>
      <c r="K164" s="288"/>
      <c r="L164" s="278"/>
      <c r="M164" s="278"/>
      <c r="N164" s="278"/>
      <c r="O164" s="234">
        <v>0</v>
      </c>
      <c r="P164" s="234">
        <v>0</v>
      </c>
      <c r="Q164" s="77"/>
      <c r="R164" s="77"/>
      <c r="S164" s="77"/>
      <c r="T164" s="77"/>
      <c r="U164" s="289"/>
      <c r="V164" s="235"/>
    </row>
    <row r="165" spans="1:22" s="65" customFormat="1" ht="14.25">
      <c r="A165" s="286"/>
      <c r="B165" s="95"/>
      <c r="C165" s="82">
        <v>2020</v>
      </c>
      <c r="D165" s="234">
        <f t="shared" si="26"/>
        <v>0</v>
      </c>
      <c r="E165" s="234">
        <v>0</v>
      </c>
      <c r="F165" s="234">
        <f t="shared" si="27"/>
        <v>0</v>
      </c>
      <c r="G165" s="234"/>
      <c r="H165" s="234">
        <v>0</v>
      </c>
      <c r="I165" s="234">
        <v>0</v>
      </c>
      <c r="J165" s="290">
        <f>2210.8002</f>
        <v>2210.8002</v>
      </c>
      <c r="K165" s="288"/>
      <c r="L165" s="278"/>
      <c r="M165" s="278"/>
      <c r="N165" s="278"/>
      <c r="O165" s="234">
        <v>0</v>
      </c>
      <c r="P165" s="234">
        <v>0</v>
      </c>
      <c r="Q165" s="77"/>
      <c r="R165" s="77"/>
      <c r="S165" s="77"/>
      <c r="T165" s="77"/>
      <c r="U165" s="289"/>
      <c r="V165" s="235"/>
    </row>
    <row r="166" spans="1:22" s="65" customFormat="1" ht="14.25">
      <c r="A166" s="286"/>
      <c r="B166" s="95"/>
      <c r="C166" s="82">
        <v>2021</v>
      </c>
      <c r="D166" s="234">
        <f t="shared" si="26"/>
        <v>3348.5</v>
      </c>
      <c r="E166" s="234">
        <v>0</v>
      </c>
      <c r="F166" s="234">
        <f aca="true" t="shared" si="28" ref="F166:F168">H166</f>
        <v>3348.5</v>
      </c>
      <c r="G166" s="234">
        <v>3348.5</v>
      </c>
      <c r="H166" s="234">
        <v>3348.5</v>
      </c>
      <c r="I166" s="234">
        <v>0</v>
      </c>
      <c r="J166" s="290"/>
      <c r="K166" s="288"/>
      <c r="L166" s="278"/>
      <c r="M166" s="278"/>
      <c r="N166" s="278"/>
      <c r="O166" s="250">
        <v>0</v>
      </c>
      <c r="P166" s="250">
        <v>0</v>
      </c>
      <c r="Q166" s="77"/>
      <c r="R166" s="77"/>
      <c r="S166" s="77"/>
      <c r="T166" s="77"/>
      <c r="U166" s="289"/>
      <c r="V166" s="235"/>
    </row>
    <row r="167" spans="1:22" s="65" customFormat="1" ht="14.25">
      <c r="A167" s="286"/>
      <c r="B167" s="95"/>
      <c r="C167" s="82">
        <v>2022</v>
      </c>
      <c r="D167" s="234">
        <f t="shared" si="26"/>
        <v>3188</v>
      </c>
      <c r="E167" s="234">
        <f>I167</f>
        <v>3188</v>
      </c>
      <c r="F167" s="234">
        <f t="shared" si="28"/>
        <v>0</v>
      </c>
      <c r="G167" s="234">
        <f>H167</f>
        <v>0</v>
      </c>
      <c r="H167" s="234">
        <v>0</v>
      </c>
      <c r="I167" s="234">
        <v>3188</v>
      </c>
      <c r="J167" s="234"/>
      <c r="K167" s="288"/>
      <c r="L167" s="278"/>
      <c r="M167" s="278"/>
      <c r="N167" s="278"/>
      <c r="O167" s="250">
        <v>0</v>
      </c>
      <c r="P167" s="250">
        <v>0</v>
      </c>
      <c r="Q167" s="77"/>
      <c r="R167" s="77"/>
      <c r="S167" s="77"/>
      <c r="T167" s="77"/>
      <c r="U167" s="289"/>
      <c r="V167" s="235"/>
    </row>
    <row r="168" spans="1:22" s="65" customFormat="1" ht="39">
      <c r="A168" s="286"/>
      <c r="B168" s="95"/>
      <c r="C168" s="109">
        <v>2023</v>
      </c>
      <c r="D168" s="292">
        <f t="shared" si="26"/>
        <v>2359.7</v>
      </c>
      <c r="E168" s="292">
        <v>0</v>
      </c>
      <c r="F168" s="292">
        <f t="shared" si="28"/>
        <v>0</v>
      </c>
      <c r="G168" s="292">
        <f>H168+I168</f>
        <v>2359.7</v>
      </c>
      <c r="H168" s="292">
        <v>0</v>
      </c>
      <c r="I168" s="292">
        <f>2359.7-794.38+794.38</f>
        <v>2359.7</v>
      </c>
      <c r="J168" s="290"/>
      <c r="K168" s="288"/>
      <c r="L168" s="278"/>
      <c r="M168" s="278"/>
      <c r="N168" s="278"/>
      <c r="O168" s="292">
        <v>0</v>
      </c>
      <c r="P168" s="292">
        <v>0</v>
      </c>
      <c r="Q168" s="77"/>
      <c r="R168" s="77"/>
      <c r="S168" s="77"/>
      <c r="T168" s="77"/>
      <c r="U168" s="208" t="s">
        <v>340</v>
      </c>
      <c r="V168" s="235"/>
    </row>
    <row r="169" spans="1:22" s="65" customFormat="1" ht="15" customHeight="1" hidden="1">
      <c r="A169" s="286"/>
      <c r="B169" s="95"/>
      <c r="C169" s="276"/>
      <c r="D169" s="234">
        <f t="shared" si="26"/>
        <v>0</v>
      </c>
      <c r="E169" s="278"/>
      <c r="F169" s="278"/>
      <c r="G169" s="234">
        <f aca="true" t="shared" si="29" ref="G169:G170">H169</f>
        <v>0</v>
      </c>
      <c r="H169" s="278"/>
      <c r="I169" s="278"/>
      <c r="J169" s="278"/>
      <c r="K169" s="278"/>
      <c r="L169" s="278"/>
      <c r="M169" s="278"/>
      <c r="N169" s="278"/>
      <c r="O169" s="277"/>
      <c r="P169" s="277"/>
      <c r="Q169" s="77"/>
      <c r="R169" s="77"/>
      <c r="S169" s="77"/>
      <c r="T169" s="77"/>
      <c r="U169" s="293"/>
      <c r="V169" s="235"/>
    </row>
    <row r="170" spans="1:22" s="65" customFormat="1" ht="14.25">
      <c r="A170" s="286"/>
      <c r="B170" s="95"/>
      <c r="C170" s="228">
        <v>2024</v>
      </c>
      <c r="D170" s="234">
        <f>G170</f>
        <v>0</v>
      </c>
      <c r="E170" s="252">
        <f>I170</f>
        <v>0</v>
      </c>
      <c r="F170" s="252"/>
      <c r="G170" s="234">
        <f t="shared" si="29"/>
        <v>0</v>
      </c>
      <c r="H170" s="252">
        <v>0</v>
      </c>
      <c r="I170" s="252">
        <v>0</v>
      </c>
      <c r="J170" s="278"/>
      <c r="K170" s="278"/>
      <c r="L170" s="278"/>
      <c r="M170" s="278"/>
      <c r="N170" s="278"/>
      <c r="O170" s="250">
        <v>0</v>
      </c>
      <c r="P170" s="250">
        <v>0</v>
      </c>
      <c r="Q170" s="77"/>
      <c r="R170" s="77"/>
      <c r="S170" s="77"/>
      <c r="T170" s="77"/>
      <c r="U170" s="293"/>
      <c r="V170" s="235"/>
    </row>
    <row r="171" spans="1:22" s="65" customFormat="1" ht="14.25">
      <c r="A171" s="286"/>
      <c r="B171" s="95"/>
      <c r="C171" s="228">
        <v>2025</v>
      </c>
      <c r="D171" s="234">
        <f>E171+G171+O171+P171</f>
        <v>0</v>
      </c>
      <c r="E171" s="252">
        <v>0</v>
      </c>
      <c r="F171" s="252"/>
      <c r="G171" s="234">
        <f>H171+I171</f>
        <v>0</v>
      </c>
      <c r="H171" s="252">
        <v>0</v>
      </c>
      <c r="I171" s="252">
        <v>0</v>
      </c>
      <c r="J171" s="278"/>
      <c r="K171" s="278"/>
      <c r="L171" s="278"/>
      <c r="M171" s="278"/>
      <c r="N171" s="278"/>
      <c r="O171" s="250">
        <v>0</v>
      </c>
      <c r="P171" s="250">
        <v>0</v>
      </c>
      <c r="Q171" s="77"/>
      <c r="R171" s="77"/>
      <c r="S171" s="77"/>
      <c r="T171" s="77"/>
      <c r="U171" s="294"/>
      <c r="V171" s="235"/>
    </row>
    <row r="172" spans="1:22" s="65" customFormat="1" ht="14.25" customHeight="1">
      <c r="A172" s="77"/>
      <c r="B172" s="237" t="s">
        <v>341</v>
      </c>
      <c r="C172" s="125">
        <v>2017</v>
      </c>
      <c r="D172" s="234">
        <f aca="true" t="shared" si="30" ref="D172:D175">G172+O172</f>
        <v>0</v>
      </c>
      <c r="E172" s="234">
        <v>0</v>
      </c>
      <c r="F172" s="278"/>
      <c r="G172" s="278"/>
      <c r="H172" s="234">
        <f aca="true" t="shared" si="31" ref="H172:H175">K172+S172</f>
        <v>0</v>
      </c>
      <c r="I172" s="234">
        <v>0</v>
      </c>
      <c r="J172" s="278"/>
      <c r="K172" s="278"/>
      <c r="L172" s="278"/>
      <c r="M172" s="278"/>
      <c r="N172" s="278"/>
      <c r="O172" s="250">
        <v>0</v>
      </c>
      <c r="P172" s="250">
        <v>0</v>
      </c>
      <c r="Q172" s="77"/>
      <c r="R172" s="77"/>
      <c r="S172" s="77"/>
      <c r="T172" s="77"/>
      <c r="U172" s="264"/>
      <c r="V172" s="235"/>
    </row>
    <row r="173" spans="1:22" s="65" customFormat="1" ht="14.25">
      <c r="A173" s="77"/>
      <c r="B173" s="237"/>
      <c r="C173" s="125">
        <v>2018</v>
      </c>
      <c r="D173" s="234">
        <f t="shared" si="30"/>
        <v>0</v>
      </c>
      <c r="E173" s="234">
        <v>0</v>
      </c>
      <c r="F173" s="278"/>
      <c r="G173" s="278"/>
      <c r="H173" s="234">
        <f t="shared" si="31"/>
        <v>0</v>
      </c>
      <c r="I173" s="234">
        <v>0</v>
      </c>
      <c r="J173" s="278"/>
      <c r="K173" s="278"/>
      <c r="L173" s="278"/>
      <c r="M173" s="278"/>
      <c r="N173" s="278"/>
      <c r="O173" s="250">
        <v>0</v>
      </c>
      <c r="P173" s="250">
        <v>0</v>
      </c>
      <c r="Q173" s="77"/>
      <c r="R173" s="77"/>
      <c r="S173" s="77"/>
      <c r="T173" s="77"/>
      <c r="U173" s="264"/>
      <c r="V173" s="235"/>
    </row>
    <row r="174" spans="1:22" s="65" customFormat="1" ht="14.25">
      <c r="A174" s="77"/>
      <c r="B174" s="237"/>
      <c r="C174" s="125">
        <v>2019</v>
      </c>
      <c r="D174" s="234">
        <f t="shared" si="30"/>
        <v>0</v>
      </c>
      <c r="E174" s="234">
        <v>0</v>
      </c>
      <c r="F174" s="278"/>
      <c r="G174" s="278"/>
      <c r="H174" s="234">
        <f t="shared" si="31"/>
        <v>0</v>
      </c>
      <c r="I174" s="234">
        <v>0</v>
      </c>
      <c r="J174" s="278"/>
      <c r="K174" s="278"/>
      <c r="L174" s="278"/>
      <c r="M174" s="278"/>
      <c r="N174" s="278"/>
      <c r="O174" s="250">
        <v>0</v>
      </c>
      <c r="P174" s="250">
        <v>0</v>
      </c>
      <c r="Q174" s="77"/>
      <c r="R174" s="77"/>
      <c r="S174" s="77"/>
      <c r="T174" s="77"/>
      <c r="U174" s="264"/>
      <c r="V174" s="235"/>
    </row>
    <row r="175" spans="1:22" s="65" customFormat="1" ht="14.25">
      <c r="A175" s="77"/>
      <c r="B175" s="237"/>
      <c r="C175" s="125">
        <v>2020</v>
      </c>
      <c r="D175" s="234">
        <f t="shared" si="30"/>
        <v>0</v>
      </c>
      <c r="E175" s="234">
        <v>0</v>
      </c>
      <c r="F175" s="278"/>
      <c r="G175" s="278"/>
      <c r="H175" s="234">
        <f t="shared" si="31"/>
        <v>0</v>
      </c>
      <c r="I175" s="234">
        <v>0</v>
      </c>
      <c r="J175" s="278"/>
      <c r="K175" s="278"/>
      <c r="L175" s="278"/>
      <c r="M175" s="278"/>
      <c r="N175" s="278"/>
      <c r="O175" s="250">
        <v>0</v>
      </c>
      <c r="P175" s="250">
        <v>0</v>
      </c>
      <c r="Q175" s="77"/>
      <c r="R175" s="77"/>
      <c r="S175" s="77"/>
      <c r="T175" s="77"/>
      <c r="U175" s="264"/>
      <c r="V175" s="235"/>
    </row>
    <row r="176" spans="1:22" s="65" customFormat="1" ht="14.25">
      <c r="A176" s="77"/>
      <c r="B176" s="237"/>
      <c r="C176" s="125">
        <v>2021</v>
      </c>
      <c r="D176" s="277">
        <f aca="true" t="shared" si="32" ref="D176:D177">G176+O176+P176</f>
        <v>22485.56978</v>
      </c>
      <c r="E176" s="278"/>
      <c r="F176" s="278"/>
      <c r="G176" s="278">
        <f>H176+I176</f>
        <v>3916.85</v>
      </c>
      <c r="H176" s="278">
        <f aca="true" t="shared" si="33" ref="H176:H177">H166</f>
        <v>3348.5</v>
      </c>
      <c r="I176" s="278">
        <f aca="true" t="shared" si="34" ref="I176:I178">I157+I166</f>
        <v>568.35</v>
      </c>
      <c r="J176" s="278"/>
      <c r="K176" s="278"/>
      <c r="L176" s="278"/>
      <c r="M176" s="278"/>
      <c r="N176" s="278"/>
      <c r="O176" s="277">
        <f aca="true" t="shared" si="35" ref="O176:O177">O157</f>
        <v>16368.719780000001</v>
      </c>
      <c r="P176" s="179">
        <f aca="true" t="shared" si="36" ref="P176:P179">P157</f>
        <v>2200</v>
      </c>
      <c r="Q176" s="77"/>
      <c r="R176" s="77"/>
      <c r="S176" s="77"/>
      <c r="T176" s="77"/>
      <c r="U176" s="264"/>
      <c r="V176" s="235"/>
    </row>
    <row r="177" spans="1:22" s="65" customFormat="1" ht="14.25">
      <c r="A177" s="77"/>
      <c r="B177" s="237"/>
      <c r="C177" s="125">
        <v>2022</v>
      </c>
      <c r="D177" s="277">
        <f t="shared" si="32"/>
        <v>22013.256179999997</v>
      </c>
      <c r="E177" s="278"/>
      <c r="F177" s="278"/>
      <c r="G177" s="278">
        <f aca="true" t="shared" si="37" ref="G177:G180">I177+H177</f>
        <v>3969.717</v>
      </c>
      <c r="H177" s="278">
        <f t="shared" si="33"/>
        <v>0</v>
      </c>
      <c r="I177" s="278">
        <f t="shared" si="34"/>
        <v>3969.717</v>
      </c>
      <c r="J177" s="278"/>
      <c r="K177" s="278"/>
      <c r="L177" s="278"/>
      <c r="M177" s="278"/>
      <c r="N177" s="278"/>
      <c r="O177" s="277">
        <f t="shared" si="35"/>
        <v>15059.56718</v>
      </c>
      <c r="P177" s="86">
        <f t="shared" si="36"/>
        <v>2983.9719999999998</v>
      </c>
      <c r="Q177" s="77"/>
      <c r="R177" s="77"/>
      <c r="S177" s="77"/>
      <c r="T177" s="77"/>
      <c r="U177" s="264"/>
      <c r="V177" s="235"/>
    </row>
    <row r="178" spans="1:22" s="65" customFormat="1" ht="14.25">
      <c r="A178" s="77"/>
      <c r="B178" s="237"/>
      <c r="C178" s="126">
        <v>2023</v>
      </c>
      <c r="D178" s="280">
        <f>G178+O178+P178+E178</f>
        <v>22299.149499999996</v>
      </c>
      <c r="E178" s="281">
        <f>E168+E159</f>
        <v>0</v>
      </c>
      <c r="F178" s="281"/>
      <c r="G178" s="281">
        <f t="shared" si="37"/>
        <v>3393.46578</v>
      </c>
      <c r="H178" s="281">
        <f>H168+H159</f>
        <v>0</v>
      </c>
      <c r="I178" s="281">
        <f t="shared" si="34"/>
        <v>3393.46578</v>
      </c>
      <c r="J178" s="281"/>
      <c r="K178" s="281"/>
      <c r="L178" s="281"/>
      <c r="M178" s="281"/>
      <c r="N178" s="281"/>
      <c r="O178" s="280">
        <f>O159+O168</f>
        <v>15283.471789999994</v>
      </c>
      <c r="P178" s="102">
        <f t="shared" si="36"/>
        <v>3622.21193</v>
      </c>
      <c r="Q178" s="77"/>
      <c r="R178" s="77"/>
      <c r="S178" s="77"/>
      <c r="T178" s="77"/>
      <c r="U178" s="264"/>
      <c r="V178" s="235"/>
    </row>
    <row r="179" spans="1:22" s="65" customFormat="1" ht="14.25">
      <c r="A179" s="77"/>
      <c r="B179" s="237"/>
      <c r="C179" s="125">
        <v>2024</v>
      </c>
      <c r="D179" s="277">
        <f>G179+O179+P179</f>
        <v>18033.945</v>
      </c>
      <c r="E179" s="278"/>
      <c r="F179" s="278"/>
      <c r="G179" s="278">
        <f t="shared" si="37"/>
        <v>794.5</v>
      </c>
      <c r="H179" s="278">
        <f>H170</f>
        <v>0</v>
      </c>
      <c r="I179" s="278">
        <f aca="true" t="shared" si="38" ref="I179:I180">I170+I160</f>
        <v>794.5</v>
      </c>
      <c r="J179" s="278"/>
      <c r="K179" s="278"/>
      <c r="L179" s="278"/>
      <c r="M179" s="278"/>
      <c r="N179" s="278"/>
      <c r="O179" s="277">
        <f>O160</f>
        <v>15039.445</v>
      </c>
      <c r="P179" s="86">
        <f t="shared" si="36"/>
        <v>2200</v>
      </c>
      <c r="Q179" s="77"/>
      <c r="R179" s="77"/>
      <c r="S179" s="77"/>
      <c r="T179" s="77"/>
      <c r="U179" s="264"/>
      <c r="V179" s="235"/>
    </row>
    <row r="180" spans="1:22" s="65" customFormat="1" ht="14.25">
      <c r="A180" s="77"/>
      <c r="B180" s="237"/>
      <c r="C180" s="125">
        <v>2025</v>
      </c>
      <c r="D180" s="277">
        <f>E180+G180+O180+P180</f>
        <v>18000.835</v>
      </c>
      <c r="E180" s="278">
        <f>E171+E161</f>
        <v>0</v>
      </c>
      <c r="F180" s="278"/>
      <c r="G180" s="278">
        <f t="shared" si="37"/>
        <v>794.5</v>
      </c>
      <c r="H180" s="278">
        <f>H171+H161</f>
        <v>0</v>
      </c>
      <c r="I180" s="278">
        <f t="shared" si="38"/>
        <v>794.5</v>
      </c>
      <c r="J180" s="278"/>
      <c r="K180" s="278"/>
      <c r="L180" s="278"/>
      <c r="M180" s="278"/>
      <c r="N180" s="278"/>
      <c r="O180" s="277">
        <f>O161+O171</f>
        <v>15006.335</v>
      </c>
      <c r="P180" s="86">
        <f>P161+P171</f>
        <v>2200</v>
      </c>
      <c r="Q180" s="77"/>
      <c r="R180" s="77"/>
      <c r="S180" s="77"/>
      <c r="T180" s="77"/>
      <c r="U180" s="264"/>
      <c r="V180" s="235"/>
    </row>
    <row r="181" spans="1:22" s="65" customFormat="1" ht="14.25">
      <c r="A181" s="77"/>
      <c r="B181" s="237"/>
      <c r="C181" s="125" t="s">
        <v>298</v>
      </c>
      <c r="D181" s="277">
        <f>SUM(D176:D178)</f>
        <v>66797.97546</v>
      </c>
      <c r="E181" s="278"/>
      <c r="F181" s="278"/>
      <c r="G181" s="278">
        <f>SUM(G176:G178)</f>
        <v>11280.03278</v>
      </c>
      <c r="H181" s="278">
        <f>SUM(H176:H178)</f>
        <v>3348.5</v>
      </c>
      <c r="I181" s="278">
        <f>SUM(I176:I178)</f>
        <v>7931.5327800000005</v>
      </c>
      <c r="J181" s="278"/>
      <c r="K181" s="278"/>
      <c r="L181" s="278"/>
      <c r="M181" s="278"/>
      <c r="N181" s="278"/>
      <c r="O181" s="277">
        <f>SUM(O172:O179)</f>
        <v>61751.20374999999</v>
      </c>
      <c r="P181" s="124">
        <f>P179+P178+P177+P176</f>
        <v>11006.18393</v>
      </c>
      <c r="Q181" s="77"/>
      <c r="R181" s="77"/>
      <c r="S181" s="77"/>
      <c r="T181" s="77"/>
      <c r="U181" s="264"/>
      <c r="V181" s="235"/>
    </row>
    <row r="182" spans="1:22" s="65" customFormat="1" ht="14.25" customHeight="1">
      <c r="A182" s="77"/>
      <c r="B182" s="237" t="s">
        <v>342</v>
      </c>
      <c r="C182" s="276">
        <v>2017</v>
      </c>
      <c r="D182" s="277">
        <f aca="true" t="shared" si="39" ref="D182:D183">O182</f>
        <v>358.5</v>
      </c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77">
        <f aca="true" t="shared" si="40" ref="O182:O185">O141+O74</f>
        <v>358.5</v>
      </c>
      <c r="P182" s="77"/>
      <c r="Q182" s="77"/>
      <c r="R182" s="77"/>
      <c r="S182" s="77"/>
      <c r="T182" s="77"/>
      <c r="U182" s="84"/>
      <c r="V182" s="77"/>
    </row>
    <row r="183" spans="1:22" s="65" customFormat="1" ht="14.25">
      <c r="A183" s="77"/>
      <c r="B183" s="237"/>
      <c r="C183" s="276">
        <v>2018</v>
      </c>
      <c r="D183" s="277">
        <f t="shared" si="39"/>
        <v>428.5</v>
      </c>
      <c r="E183" s="278"/>
      <c r="F183" s="278"/>
      <c r="G183" s="278"/>
      <c r="H183" s="278"/>
      <c r="I183" s="278"/>
      <c r="J183" s="278"/>
      <c r="K183" s="278"/>
      <c r="L183" s="278"/>
      <c r="M183" s="278"/>
      <c r="N183" s="278"/>
      <c r="O183" s="277">
        <f t="shared" si="40"/>
        <v>428.5</v>
      </c>
      <c r="P183" s="77"/>
      <c r="Q183" s="77"/>
      <c r="R183" s="77"/>
      <c r="S183" s="77"/>
      <c r="T183" s="77"/>
      <c r="U183" s="84"/>
      <c r="V183" s="77"/>
    </row>
    <row r="184" spans="1:22" s="65" customFormat="1" ht="14.25">
      <c r="A184" s="77"/>
      <c r="B184" s="237"/>
      <c r="C184" s="276">
        <v>2019</v>
      </c>
      <c r="D184" s="277">
        <f>O184+I184+H184</f>
        <v>5391.084999999999</v>
      </c>
      <c r="E184" s="278"/>
      <c r="F184" s="278"/>
      <c r="G184" s="278">
        <f>H184+I184</f>
        <v>4738.099999999999</v>
      </c>
      <c r="H184" s="278">
        <f>H89</f>
        <v>4407.4</v>
      </c>
      <c r="I184" s="278">
        <f aca="true" t="shared" si="41" ref="I184:I185">I143</f>
        <v>330.7</v>
      </c>
      <c r="J184" s="278"/>
      <c r="K184" s="278"/>
      <c r="L184" s="278"/>
      <c r="M184" s="278"/>
      <c r="N184" s="278"/>
      <c r="O184" s="277">
        <f t="shared" si="40"/>
        <v>652.985</v>
      </c>
      <c r="P184" s="77"/>
      <c r="Q184" s="77"/>
      <c r="R184" s="77"/>
      <c r="S184" s="77"/>
      <c r="T184" s="77"/>
      <c r="U184" s="84"/>
      <c r="V184" s="77"/>
    </row>
    <row r="185" spans="1:22" s="65" customFormat="1" ht="14.25">
      <c r="A185" s="77"/>
      <c r="B185" s="237"/>
      <c r="C185" s="276">
        <v>2020</v>
      </c>
      <c r="D185" s="277">
        <f>O185+I185</f>
        <v>1069.9875</v>
      </c>
      <c r="E185" s="278"/>
      <c r="F185" s="278"/>
      <c r="G185" s="278">
        <f>I185</f>
        <v>583.6</v>
      </c>
      <c r="H185" s="278"/>
      <c r="I185" s="278">
        <f t="shared" si="41"/>
        <v>583.6</v>
      </c>
      <c r="J185" s="278"/>
      <c r="K185" s="278"/>
      <c r="L185" s="278"/>
      <c r="M185" s="278"/>
      <c r="N185" s="278"/>
      <c r="O185" s="277">
        <f t="shared" si="40"/>
        <v>486.3875</v>
      </c>
      <c r="P185" s="77"/>
      <c r="Q185" s="77"/>
      <c r="R185" s="77"/>
      <c r="S185" s="77"/>
      <c r="T185" s="77"/>
      <c r="U185" s="295"/>
      <c r="V185" s="77"/>
    </row>
    <row r="186" spans="1:22" s="65" customFormat="1" ht="14.25">
      <c r="A186" s="77"/>
      <c r="B186" s="237"/>
      <c r="C186" s="276">
        <v>2021</v>
      </c>
      <c r="D186" s="277">
        <f aca="true" t="shared" si="42" ref="D186:D189">G186+O186+P186</f>
        <v>23489.36378</v>
      </c>
      <c r="E186" s="278"/>
      <c r="F186" s="278"/>
      <c r="G186" s="278">
        <f>H186+I186</f>
        <v>4442.15</v>
      </c>
      <c r="H186" s="278">
        <f aca="true" t="shared" si="43" ref="H186:H187">H176</f>
        <v>3348.5</v>
      </c>
      <c r="I186" s="278">
        <f aca="true" t="shared" si="44" ref="I186:I187">I145+I176</f>
        <v>1093.65</v>
      </c>
      <c r="J186" s="278"/>
      <c r="K186" s="278"/>
      <c r="L186" s="278"/>
      <c r="M186" s="278"/>
      <c r="N186" s="278"/>
      <c r="O186" s="277">
        <f aca="true" t="shared" si="45" ref="O186:O188">O78+O145+O176</f>
        <v>16847.213780000002</v>
      </c>
      <c r="P186" s="124">
        <f aca="true" t="shared" si="46" ref="P186:P190">P176</f>
        <v>2200</v>
      </c>
      <c r="Q186" s="77"/>
      <c r="R186" s="77"/>
      <c r="S186" s="77"/>
      <c r="T186" s="77"/>
      <c r="U186" s="295"/>
      <c r="V186" s="77"/>
    </row>
    <row r="187" spans="1:22" s="65" customFormat="1" ht="14.25">
      <c r="A187" s="77"/>
      <c r="B187" s="237"/>
      <c r="C187" s="276">
        <v>2022</v>
      </c>
      <c r="D187" s="277">
        <f t="shared" si="42"/>
        <v>30443.306259999998</v>
      </c>
      <c r="E187" s="278"/>
      <c r="F187" s="278"/>
      <c r="G187" s="296">
        <f aca="true" t="shared" si="47" ref="G187:G190">I187+H187</f>
        <v>4128.717000000001</v>
      </c>
      <c r="H187" s="278">
        <f t="shared" si="43"/>
        <v>0</v>
      </c>
      <c r="I187" s="278">
        <f t="shared" si="44"/>
        <v>4128.717000000001</v>
      </c>
      <c r="J187" s="278"/>
      <c r="K187" s="278"/>
      <c r="L187" s="278"/>
      <c r="M187" s="278"/>
      <c r="N187" s="278"/>
      <c r="O187" s="277">
        <f t="shared" si="45"/>
        <v>23330.61726</v>
      </c>
      <c r="P187" s="124">
        <f t="shared" si="46"/>
        <v>2983.9719999999998</v>
      </c>
      <c r="Q187" s="77"/>
      <c r="R187" s="77"/>
      <c r="S187" s="77"/>
      <c r="T187" s="77"/>
      <c r="U187" s="295"/>
      <c r="V187" s="77"/>
    </row>
    <row r="188" spans="1:22" s="65" customFormat="1" ht="14.25">
      <c r="A188" s="77"/>
      <c r="B188" s="237"/>
      <c r="C188" s="279">
        <v>2023</v>
      </c>
      <c r="D188" s="280">
        <f t="shared" si="42"/>
        <v>24055.515699999996</v>
      </c>
      <c r="E188" s="281"/>
      <c r="F188" s="281"/>
      <c r="G188" s="297">
        <f t="shared" si="47"/>
        <v>3480.56578</v>
      </c>
      <c r="H188" s="281">
        <f>H178+H147+H80</f>
        <v>0</v>
      </c>
      <c r="I188" s="281">
        <f aca="true" t="shared" si="48" ref="I188:I189">I178+I147</f>
        <v>3480.56578</v>
      </c>
      <c r="J188" s="281"/>
      <c r="K188" s="281"/>
      <c r="L188" s="281"/>
      <c r="M188" s="281"/>
      <c r="N188" s="281"/>
      <c r="O188" s="280">
        <f t="shared" si="45"/>
        <v>16952.737989999994</v>
      </c>
      <c r="P188" s="127">
        <f t="shared" si="46"/>
        <v>3622.21193</v>
      </c>
      <c r="Q188" s="77"/>
      <c r="R188" s="77"/>
      <c r="S188" s="77"/>
      <c r="T188" s="77"/>
      <c r="U188" s="295"/>
      <c r="V188" s="77"/>
    </row>
    <row r="189" spans="1:22" s="65" customFormat="1" ht="14.25">
      <c r="A189" s="77"/>
      <c r="B189" s="237"/>
      <c r="C189" s="276">
        <v>2024</v>
      </c>
      <c r="D189" s="277">
        <f t="shared" si="42"/>
        <v>18083.945</v>
      </c>
      <c r="E189" s="278"/>
      <c r="F189" s="278"/>
      <c r="G189" s="296">
        <f t="shared" si="47"/>
        <v>794.5</v>
      </c>
      <c r="H189" s="278">
        <f>H179</f>
        <v>0</v>
      </c>
      <c r="I189" s="278">
        <f t="shared" si="48"/>
        <v>794.5</v>
      </c>
      <c r="J189" s="278"/>
      <c r="K189" s="278"/>
      <c r="L189" s="278"/>
      <c r="M189" s="278"/>
      <c r="N189" s="278"/>
      <c r="O189" s="277">
        <f aca="true" t="shared" si="49" ref="O189:O190">O179+O148+O81</f>
        <v>15089.445</v>
      </c>
      <c r="P189" s="124">
        <f t="shared" si="46"/>
        <v>2200</v>
      </c>
      <c r="Q189" s="77"/>
      <c r="R189" s="77"/>
      <c r="S189" s="77"/>
      <c r="T189" s="77"/>
      <c r="U189" s="295"/>
      <c r="V189" s="77"/>
    </row>
    <row r="190" spans="1:22" s="65" customFormat="1" ht="14.25">
      <c r="A190" s="77"/>
      <c r="B190" s="237"/>
      <c r="C190" s="276">
        <v>2025</v>
      </c>
      <c r="D190" s="277">
        <f>E190+G190+O190+P190</f>
        <v>18050.835</v>
      </c>
      <c r="E190" s="278"/>
      <c r="F190" s="278"/>
      <c r="G190" s="296">
        <f t="shared" si="47"/>
        <v>794.5</v>
      </c>
      <c r="H190" s="278">
        <f>H180+H149+H82</f>
        <v>0</v>
      </c>
      <c r="I190" s="278">
        <f>I180+I149+I82</f>
        <v>794.5</v>
      </c>
      <c r="J190" s="278"/>
      <c r="K190" s="278"/>
      <c r="L190" s="278"/>
      <c r="M190" s="278"/>
      <c r="N190" s="278"/>
      <c r="O190" s="277">
        <f t="shared" si="49"/>
        <v>15056.335</v>
      </c>
      <c r="P190" s="124">
        <f t="shared" si="46"/>
        <v>2200</v>
      </c>
      <c r="Q190" s="77"/>
      <c r="R190" s="77"/>
      <c r="S190" s="77"/>
      <c r="T190" s="77"/>
      <c r="U190" s="295"/>
      <c r="V190" s="77"/>
    </row>
    <row r="191" spans="1:22" s="65" customFormat="1" ht="14.25">
      <c r="A191" s="77"/>
      <c r="B191" s="237"/>
      <c r="C191" s="298" t="s">
        <v>298</v>
      </c>
      <c r="D191" s="299">
        <f>SUM(D182:D190)</f>
        <v>121371.03824</v>
      </c>
      <c r="E191" s="253"/>
      <c r="F191" s="253"/>
      <c r="G191" s="299">
        <f>SUM(G181:G190)</f>
        <v>30242.16556</v>
      </c>
      <c r="H191" s="299">
        <f>SUM(H181:H190)</f>
        <v>11104.4</v>
      </c>
      <c r="I191" s="299">
        <f>SUM(I181:I190)</f>
        <v>19137.76556</v>
      </c>
      <c r="J191" s="253"/>
      <c r="K191" s="253"/>
      <c r="L191" s="253"/>
      <c r="M191" s="253"/>
      <c r="N191" s="253"/>
      <c r="O191" s="299">
        <f>SUM(O181:O190)</f>
        <v>150953.92527999997</v>
      </c>
      <c r="P191" s="300">
        <f>SUM(P181:P190)</f>
        <v>24212.36786</v>
      </c>
      <c r="Q191" s="174"/>
      <c r="R191" s="174"/>
      <c r="S191" s="174"/>
      <c r="T191" s="174"/>
      <c r="U191" s="174"/>
      <c r="V191" s="174"/>
    </row>
    <row r="192" spans="3:15" s="65" customFormat="1" ht="14.25">
      <c r="C192" s="301"/>
      <c r="D192" s="141"/>
      <c r="O192" s="302"/>
    </row>
    <row r="193" s="65" customFormat="1" ht="14.25"/>
    <row r="194" s="65" customFormat="1" ht="14.25"/>
  </sheetData>
  <sheetProtection selectLockedCells="1" selectUnlockedCells="1"/>
  <mergeCells count="99">
    <mergeCell ref="B2:L2"/>
    <mergeCell ref="P2:V2"/>
    <mergeCell ref="B3:L3"/>
    <mergeCell ref="P3:V3"/>
    <mergeCell ref="K4:L4"/>
    <mergeCell ref="P4:V4"/>
    <mergeCell ref="K5:L5"/>
    <mergeCell ref="A9:A13"/>
    <mergeCell ref="B9:B13"/>
    <mergeCell ref="C9:C13"/>
    <mergeCell ref="D9:D13"/>
    <mergeCell ref="E9:O9"/>
    <mergeCell ref="P9:P13"/>
    <mergeCell ref="U9:U13"/>
    <mergeCell ref="V9:V13"/>
    <mergeCell ref="E10:E13"/>
    <mergeCell ref="G10:O10"/>
    <mergeCell ref="G11:J11"/>
    <mergeCell ref="O11:O13"/>
    <mergeCell ref="G12:G13"/>
    <mergeCell ref="H12:I12"/>
    <mergeCell ref="Q14:U14"/>
    <mergeCell ref="A15:V15"/>
    <mergeCell ref="A16:V16"/>
    <mergeCell ref="A17:V17"/>
    <mergeCell ref="A18:A26"/>
    <mergeCell ref="B18:B26"/>
    <mergeCell ref="U18:U26"/>
    <mergeCell ref="V18:V26"/>
    <mergeCell ref="J21:N21"/>
    <mergeCell ref="A27:A36"/>
    <mergeCell ref="B27:B36"/>
    <mergeCell ref="S27:U36"/>
    <mergeCell ref="V27:V36"/>
    <mergeCell ref="C28:C29"/>
    <mergeCell ref="D28:D29"/>
    <mergeCell ref="O28:O29"/>
    <mergeCell ref="P28:P29"/>
    <mergeCell ref="A37:A45"/>
    <mergeCell ref="B37:B45"/>
    <mergeCell ref="T37:U45"/>
    <mergeCell ref="V37:V45"/>
    <mergeCell ref="A46:A54"/>
    <mergeCell ref="B46:B54"/>
    <mergeCell ref="U46:U54"/>
    <mergeCell ref="V46:V54"/>
    <mergeCell ref="K47:N47"/>
    <mergeCell ref="K48:N48"/>
    <mergeCell ref="K49:N49"/>
    <mergeCell ref="A55:A64"/>
    <mergeCell ref="B55:B64"/>
    <mergeCell ref="U55:U64"/>
    <mergeCell ref="V55:V64"/>
    <mergeCell ref="L56:N56"/>
    <mergeCell ref="P56:T58"/>
    <mergeCell ref="L57:N57"/>
    <mergeCell ref="A65:A73"/>
    <mergeCell ref="B65:B73"/>
    <mergeCell ref="A74:B83"/>
    <mergeCell ref="A84:V84"/>
    <mergeCell ref="A85:A86"/>
    <mergeCell ref="B85:V86"/>
    <mergeCell ref="A87:A95"/>
    <mergeCell ref="B87:B95"/>
    <mergeCell ref="U87:U95"/>
    <mergeCell ref="V87:V104"/>
    <mergeCell ref="A96:A104"/>
    <mergeCell ref="B96:B104"/>
    <mergeCell ref="U96:U104"/>
    <mergeCell ref="A105:A113"/>
    <mergeCell ref="B105:B113"/>
    <mergeCell ref="U105:U113"/>
    <mergeCell ref="V105:V113"/>
    <mergeCell ref="A114:A122"/>
    <mergeCell ref="B114:B122"/>
    <mergeCell ref="U117:U122"/>
    <mergeCell ref="A123:A131"/>
    <mergeCell ref="B123:B131"/>
    <mergeCell ref="U126:U135"/>
    <mergeCell ref="A132:A135"/>
    <mergeCell ref="B132:B135"/>
    <mergeCell ref="A136:A140"/>
    <mergeCell ref="B136:B140"/>
    <mergeCell ref="X137:Y137"/>
    <mergeCell ref="X138:Y138"/>
    <mergeCell ref="A141:B150"/>
    <mergeCell ref="A151:V151"/>
    <mergeCell ref="B152:V152"/>
    <mergeCell ref="A153:A161"/>
    <mergeCell ref="B153:B161"/>
    <mergeCell ref="K153:K159"/>
    <mergeCell ref="U153:U167"/>
    <mergeCell ref="A162:A171"/>
    <mergeCell ref="B162:B171"/>
    <mergeCell ref="K162:K168"/>
    <mergeCell ref="A172:A181"/>
    <mergeCell ref="B172:B181"/>
    <mergeCell ref="A182:A191"/>
    <mergeCell ref="B182:B191"/>
  </mergeCells>
  <printOptions/>
  <pageMargins left="0.7083333333333334" right="0.7083333333333334" top="0.15763888888888888" bottom="0.15763888888888888" header="0.5118055555555555" footer="0.511805555555555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5"/>
  <sheetViews>
    <sheetView view="pageBreakPreview" zoomScaleNormal="85" zoomScaleSheetLayoutView="100" workbookViewId="0" topLeftCell="A36">
      <selection activeCell="C72" sqref="C72"/>
    </sheetView>
  </sheetViews>
  <sheetFormatPr defaultColWidth="9.140625" defaultRowHeight="15"/>
  <cols>
    <col min="1" max="1" width="7.140625" style="0" customWidth="1"/>
    <col min="2" max="2" width="44.7109375" style="0" customWidth="1"/>
    <col min="3" max="3" width="12.140625" style="0" customWidth="1"/>
    <col min="4" max="7" width="12.8515625" style="0" customWidth="1"/>
    <col min="8" max="8" width="17.7109375" style="0" customWidth="1"/>
    <col min="9" max="9" width="14.28125" style="0" customWidth="1"/>
    <col min="10" max="10" width="12.7109375" style="0" customWidth="1"/>
    <col min="12" max="12" width="13.00390625" style="0" customWidth="1"/>
    <col min="13" max="13" width="33.421875" style="0" customWidth="1"/>
  </cols>
  <sheetData>
    <row r="1" s="65" customFormat="1" ht="14.25">
      <c r="M1" s="303"/>
    </row>
    <row r="2" spans="1:13" s="65" customFormat="1" ht="15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</row>
    <row r="3" spans="1:13" s="65" customFormat="1" ht="15" customHeight="1">
      <c r="A3" s="304"/>
      <c r="B3" s="306"/>
      <c r="C3" s="306"/>
      <c r="D3" s="306"/>
      <c r="E3" s="306"/>
      <c r="F3" s="306"/>
      <c r="G3" s="306"/>
      <c r="H3" s="306"/>
      <c r="I3" s="306"/>
      <c r="J3" s="306"/>
      <c r="K3" s="305" t="s">
        <v>343</v>
      </c>
      <c r="L3" s="305"/>
      <c r="M3" s="305"/>
    </row>
    <row r="4" spans="1:13" s="65" customFormat="1" ht="19.5" customHeight="1">
      <c r="A4" s="306"/>
      <c r="B4" s="307"/>
      <c r="C4" s="307"/>
      <c r="D4" s="307"/>
      <c r="E4" s="307"/>
      <c r="F4" s="307"/>
      <c r="G4" s="307"/>
      <c r="H4" s="307"/>
      <c r="I4" s="307"/>
      <c r="J4" s="306"/>
      <c r="K4" s="305" t="s">
        <v>344</v>
      </c>
      <c r="L4" s="305"/>
      <c r="M4" s="305"/>
    </row>
    <row r="5" spans="1:13" s="65" customFormat="1" ht="16.5" customHeight="1">
      <c r="A5" s="306"/>
      <c r="B5" s="304"/>
      <c r="C5" s="304"/>
      <c r="D5" s="304"/>
      <c r="E5" s="308"/>
      <c r="F5" s="308"/>
      <c r="G5" s="308"/>
      <c r="H5" s="304"/>
      <c r="I5" s="309"/>
      <c r="J5" s="304"/>
      <c r="K5" s="307"/>
      <c r="L5" s="305" t="s">
        <v>345</v>
      </c>
      <c r="M5" s="305"/>
    </row>
    <row r="6" spans="1:13" s="65" customFormat="1" ht="16.5" customHeight="1">
      <c r="A6" s="306"/>
      <c r="B6" s="304"/>
      <c r="C6" s="304"/>
      <c r="D6" s="304"/>
      <c r="E6" s="308"/>
      <c r="F6" s="308"/>
      <c r="G6" s="308"/>
      <c r="H6" s="304"/>
      <c r="I6" s="309"/>
      <c r="J6" s="304"/>
      <c r="K6" s="304"/>
      <c r="L6" s="307"/>
      <c r="M6" s="307"/>
    </row>
    <row r="7" spans="1:13" s="65" customFormat="1" ht="15" customHeight="1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</row>
    <row r="8" spans="1:13" s="65" customFormat="1" ht="15" customHeight="1">
      <c r="A8" s="311" t="s">
        <v>346</v>
      </c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</row>
    <row r="9" spans="1:13" s="65" customFormat="1" ht="21.75" customHeight="1">
      <c r="A9" s="248" t="s">
        <v>4</v>
      </c>
      <c r="B9" s="248" t="s">
        <v>347</v>
      </c>
      <c r="C9" s="248" t="s">
        <v>6</v>
      </c>
      <c r="D9" s="248" t="s">
        <v>348</v>
      </c>
      <c r="E9" s="248" t="s">
        <v>349</v>
      </c>
      <c r="F9" s="248"/>
      <c r="G9" s="248"/>
      <c r="H9" s="248"/>
      <c r="I9" s="248"/>
      <c r="J9" s="312" t="s">
        <v>42</v>
      </c>
      <c r="K9" s="248" t="s">
        <v>350</v>
      </c>
      <c r="L9" s="248"/>
      <c r="M9" s="248" t="s">
        <v>351</v>
      </c>
    </row>
    <row r="10" spans="1:13" s="65" customFormat="1" ht="15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312"/>
      <c r="K10" s="248"/>
      <c r="L10" s="248"/>
      <c r="M10" s="248"/>
    </row>
    <row r="11" spans="1:13" s="65" customFormat="1" ht="30" customHeight="1">
      <c r="A11" s="248"/>
      <c r="B11" s="248"/>
      <c r="C11" s="248"/>
      <c r="D11" s="248"/>
      <c r="E11" s="248" t="s">
        <v>45</v>
      </c>
      <c r="F11" s="248" t="s">
        <v>12</v>
      </c>
      <c r="G11" s="248"/>
      <c r="H11" s="248"/>
      <c r="I11" s="248"/>
      <c r="J11" s="312"/>
      <c r="K11" s="248"/>
      <c r="L11" s="248"/>
      <c r="M11" s="248"/>
    </row>
    <row r="12" spans="1:13" s="65" customFormat="1" ht="15" customHeight="1">
      <c r="A12" s="248"/>
      <c r="B12" s="248"/>
      <c r="C12" s="248"/>
      <c r="D12" s="248"/>
      <c r="E12" s="248"/>
      <c r="F12" s="248" t="s">
        <v>352</v>
      </c>
      <c r="G12" s="248"/>
      <c r="H12" s="248"/>
      <c r="I12" s="248" t="s">
        <v>47</v>
      </c>
      <c r="J12" s="312"/>
      <c r="K12" s="248"/>
      <c r="L12" s="248"/>
      <c r="M12" s="248"/>
    </row>
    <row r="13" spans="1:13" s="65" customFormat="1" ht="15" customHeight="1">
      <c r="A13" s="248"/>
      <c r="B13" s="248"/>
      <c r="C13" s="248"/>
      <c r="D13" s="248"/>
      <c r="E13" s="248"/>
      <c r="F13" s="248" t="s">
        <v>353</v>
      </c>
      <c r="G13" s="248" t="s">
        <v>16</v>
      </c>
      <c r="H13" s="248"/>
      <c r="I13" s="248"/>
      <c r="J13" s="312"/>
      <c r="K13" s="248"/>
      <c r="L13" s="248"/>
      <c r="M13" s="248"/>
    </row>
    <row r="14" spans="1:13" s="65" customFormat="1" ht="94.5" customHeight="1">
      <c r="A14" s="248"/>
      <c r="B14" s="248"/>
      <c r="C14" s="248"/>
      <c r="D14" s="248"/>
      <c r="E14" s="248"/>
      <c r="F14" s="248"/>
      <c r="G14" s="313" t="s">
        <v>354</v>
      </c>
      <c r="H14" s="313" t="s">
        <v>355</v>
      </c>
      <c r="I14" s="248"/>
      <c r="J14" s="312"/>
      <c r="K14" s="248"/>
      <c r="L14" s="248"/>
      <c r="M14" s="248"/>
    </row>
    <row r="15" spans="1:13" s="65" customFormat="1" ht="15" customHeight="1">
      <c r="A15" s="248">
        <v>1</v>
      </c>
      <c r="B15" s="248">
        <v>2</v>
      </c>
      <c r="C15" s="248">
        <v>3</v>
      </c>
      <c r="D15" s="248">
        <v>4</v>
      </c>
      <c r="E15" s="248">
        <v>5</v>
      </c>
      <c r="F15" s="248">
        <v>6</v>
      </c>
      <c r="G15" s="248">
        <v>7</v>
      </c>
      <c r="H15" s="248">
        <v>8</v>
      </c>
      <c r="I15" s="248">
        <v>9</v>
      </c>
      <c r="J15" s="248">
        <v>10</v>
      </c>
      <c r="K15" s="248">
        <v>11</v>
      </c>
      <c r="L15" s="248"/>
      <c r="M15" s="248">
        <v>12</v>
      </c>
    </row>
    <row r="16" spans="1:13" s="65" customFormat="1" ht="17.25" customHeight="1">
      <c r="A16" s="211" t="s">
        <v>356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</row>
    <row r="17" spans="1:16" s="65" customFormat="1" ht="37.5" customHeight="1">
      <c r="A17" s="314" t="s">
        <v>357</v>
      </c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P17" s="65" t="s">
        <v>71</v>
      </c>
    </row>
    <row r="18" spans="1:13" s="65" customFormat="1" ht="18.75" customHeight="1">
      <c r="A18" s="248" t="s">
        <v>19</v>
      </c>
      <c r="B18" s="248" t="s">
        <v>358</v>
      </c>
      <c r="C18" s="248">
        <v>2017</v>
      </c>
      <c r="D18" s="315">
        <v>4</v>
      </c>
      <c r="E18" s="315"/>
      <c r="F18" s="315"/>
      <c r="G18" s="315"/>
      <c r="H18" s="315"/>
      <c r="I18" s="315">
        <v>4</v>
      </c>
      <c r="J18" s="314"/>
      <c r="K18" s="248" t="s">
        <v>359</v>
      </c>
      <c r="L18" s="248"/>
      <c r="M18" s="248" t="s">
        <v>360</v>
      </c>
    </row>
    <row r="19" spans="1:13" s="65" customFormat="1" ht="22.5" customHeight="1">
      <c r="A19" s="248"/>
      <c r="B19" s="248"/>
      <c r="C19" s="248">
        <v>2018</v>
      </c>
      <c r="D19" s="316">
        <f aca="true" t="shared" si="0" ref="D19:D21">SUM(E19:I19)</f>
        <v>4</v>
      </c>
      <c r="E19" s="315"/>
      <c r="F19" s="315"/>
      <c r="G19" s="315"/>
      <c r="H19" s="317"/>
      <c r="I19" s="316">
        <v>4</v>
      </c>
      <c r="J19" s="318"/>
      <c r="K19" s="248"/>
      <c r="L19" s="248"/>
      <c r="M19" s="248"/>
    </row>
    <row r="20" spans="1:13" s="65" customFormat="1" ht="18" customHeight="1">
      <c r="A20" s="248"/>
      <c r="B20" s="248"/>
      <c r="C20" s="248">
        <v>2019</v>
      </c>
      <c r="D20" s="315">
        <f t="shared" si="0"/>
        <v>4</v>
      </c>
      <c r="E20" s="315"/>
      <c r="F20" s="315"/>
      <c r="G20" s="315"/>
      <c r="H20" s="317"/>
      <c r="I20" s="315">
        <v>4</v>
      </c>
      <c r="J20" s="318"/>
      <c r="K20" s="248"/>
      <c r="L20" s="248"/>
      <c r="M20" s="248"/>
    </row>
    <row r="21" spans="1:13" s="65" customFormat="1" ht="15" customHeight="1">
      <c r="A21" s="248"/>
      <c r="B21" s="248"/>
      <c r="C21" s="248">
        <v>2020</v>
      </c>
      <c r="D21" s="315">
        <f t="shared" si="0"/>
        <v>0</v>
      </c>
      <c r="E21" s="315"/>
      <c r="F21" s="315"/>
      <c r="G21" s="315"/>
      <c r="H21" s="317"/>
      <c r="I21" s="315">
        <v>0</v>
      </c>
      <c r="J21" s="318"/>
      <c r="K21" s="248"/>
      <c r="L21" s="248"/>
      <c r="M21" s="248"/>
    </row>
    <row r="22" spans="1:13" s="65" customFormat="1" ht="17.25" customHeight="1">
      <c r="A22" s="248"/>
      <c r="B22" s="248"/>
      <c r="C22" s="248">
        <v>2021</v>
      </c>
      <c r="D22" s="315">
        <f aca="true" t="shared" si="1" ref="D22:D24">I22</f>
        <v>0</v>
      </c>
      <c r="E22" s="315"/>
      <c r="F22" s="315"/>
      <c r="G22" s="315"/>
      <c r="H22" s="317"/>
      <c r="I22" s="315">
        <v>0</v>
      </c>
      <c r="J22" s="318"/>
      <c r="K22" s="248"/>
      <c r="L22" s="248"/>
      <c r="M22" s="248"/>
    </row>
    <row r="23" spans="1:13" s="65" customFormat="1" ht="18.75" customHeight="1">
      <c r="A23" s="248"/>
      <c r="B23" s="248"/>
      <c r="C23" s="248">
        <v>2022</v>
      </c>
      <c r="D23" s="315">
        <f t="shared" si="1"/>
        <v>0</v>
      </c>
      <c r="E23" s="315"/>
      <c r="F23" s="315"/>
      <c r="G23" s="315"/>
      <c r="H23" s="317"/>
      <c r="I23" s="315">
        <v>0</v>
      </c>
      <c r="J23" s="318"/>
      <c r="K23" s="248"/>
      <c r="L23" s="248"/>
      <c r="M23" s="248"/>
    </row>
    <row r="24" spans="1:13" s="65" customFormat="1" ht="14.25" customHeight="1">
      <c r="A24" s="248"/>
      <c r="B24" s="248"/>
      <c r="C24" s="248">
        <v>2023</v>
      </c>
      <c r="D24" s="315">
        <f t="shared" si="1"/>
        <v>0</v>
      </c>
      <c r="E24" s="315"/>
      <c r="F24" s="315"/>
      <c r="G24" s="315"/>
      <c r="H24" s="317"/>
      <c r="I24" s="315">
        <v>0</v>
      </c>
      <c r="J24" s="318"/>
      <c r="K24" s="248"/>
      <c r="L24" s="248"/>
      <c r="M24" s="248"/>
    </row>
    <row r="25" spans="1:13" s="65" customFormat="1" ht="18.75" customHeight="1">
      <c r="A25" s="211" t="s">
        <v>361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</row>
    <row r="26" spans="1:13" s="65" customFormat="1" ht="18.75" customHeight="1">
      <c r="A26" s="248" t="s">
        <v>362</v>
      </c>
      <c r="B26" s="248" t="s">
        <v>363</v>
      </c>
      <c r="C26" s="312">
        <v>2017</v>
      </c>
      <c r="D26" s="315">
        <v>1.5</v>
      </c>
      <c r="E26" s="248"/>
      <c r="F26" s="248"/>
      <c r="G26" s="248"/>
      <c r="H26" s="248"/>
      <c r="I26" s="315">
        <v>1.5</v>
      </c>
      <c r="J26" s="318"/>
      <c r="K26" s="248" t="s">
        <v>364</v>
      </c>
      <c r="L26" s="248"/>
      <c r="M26" s="312" t="s">
        <v>365</v>
      </c>
    </row>
    <row r="27" spans="1:16" s="65" customFormat="1" ht="21.75" customHeight="1">
      <c r="A27" s="248"/>
      <c r="B27" s="248"/>
      <c r="C27" s="312">
        <v>2018</v>
      </c>
      <c r="D27" s="315">
        <f aca="true" t="shared" si="2" ref="D27:D29">SUM(E27:I27)</f>
        <v>1.5</v>
      </c>
      <c r="E27" s="315"/>
      <c r="F27" s="315"/>
      <c r="G27" s="315"/>
      <c r="H27" s="315"/>
      <c r="I27" s="315">
        <v>1.5</v>
      </c>
      <c r="J27" s="318"/>
      <c r="K27" s="248"/>
      <c r="L27" s="248"/>
      <c r="M27" s="312"/>
      <c r="N27" s="65" t="s">
        <v>71</v>
      </c>
      <c r="P27" s="65" t="s">
        <v>71</v>
      </c>
    </row>
    <row r="28" spans="1:13" s="65" customFormat="1" ht="17.25" customHeight="1">
      <c r="A28" s="248"/>
      <c r="B28" s="248"/>
      <c r="C28" s="312">
        <v>2019</v>
      </c>
      <c r="D28" s="315">
        <f t="shared" si="2"/>
        <v>1.5</v>
      </c>
      <c r="E28" s="315"/>
      <c r="F28" s="315"/>
      <c r="G28" s="315"/>
      <c r="H28" s="315"/>
      <c r="I28" s="315">
        <v>1.5</v>
      </c>
      <c r="J28" s="318"/>
      <c r="K28" s="248"/>
      <c r="L28" s="248"/>
      <c r="M28" s="312"/>
    </row>
    <row r="29" spans="1:13" s="65" customFormat="1" ht="14.25" customHeight="1">
      <c r="A29" s="248"/>
      <c r="B29" s="248"/>
      <c r="C29" s="312">
        <v>2020</v>
      </c>
      <c r="D29" s="315">
        <f t="shared" si="2"/>
        <v>4.807</v>
      </c>
      <c r="E29" s="315"/>
      <c r="F29" s="315"/>
      <c r="G29" s="315"/>
      <c r="H29" s="315"/>
      <c r="I29" s="319">
        <f>1.5+3.307</f>
        <v>4.807</v>
      </c>
      <c r="J29" s="318"/>
      <c r="K29" s="248"/>
      <c r="L29" s="248"/>
      <c r="M29" s="312"/>
    </row>
    <row r="30" spans="1:13" s="65" customFormat="1" ht="15" customHeight="1">
      <c r="A30" s="248"/>
      <c r="B30" s="248"/>
      <c r="C30" s="248">
        <v>2021</v>
      </c>
      <c r="D30" s="315">
        <f aca="true" t="shared" si="3" ref="D30:D34">I30</f>
        <v>1.499</v>
      </c>
      <c r="E30" s="315"/>
      <c r="F30" s="315"/>
      <c r="G30" s="315"/>
      <c r="H30" s="315"/>
      <c r="I30" s="315">
        <f>1.5-0.001</f>
        <v>1.499</v>
      </c>
      <c r="J30" s="248"/>
      <c r="K30" s="248"/>
      <c r="L30" s="248"/>
      <c r="M30" s="312"/>
    </row>
    <row r="31" spans="1:13" s="65" customFormat="1" ht="18" customHeight="1">
      <c r="A31" s="248"/>
      <c r="B31" s="248"/>
      <c r="C31" s="248">
        <v>2022</v>
      </c>
      <c r="D31" s="315">
        <f t="shared" si="3"/>
        <v>1.5</v>
      </c>
      <c r="E31" s="315"/>
      <c r="F31" s="315"/>
      <c r="G31" s="315"/>
      <c r="H31" s="315"/>
      <c r="I31" s="315">
        <v>1.5</v>
      </c>
      <c r="J31" s="248"/>
      <c r="K31" s="248"/>
      <c r="L31" s="248"/>
      <c r="M31" s="312"/>
    </row>
    <row r="32" spans="1:13" s="65" customFormat="1" ht="18.75" customHeight="1">
      <c r="A32" s="248"/>
      <c r="B32" s="248"/>
      <c r="C32" s="248">
        <v>2023</v>
      </c>
      <c r="D32" s="315">
        <f t="shared" si="3"/>
        <v>0</v>
      </c>
      <c r="E32" s="315"/>
      <c r="F32" s="315"/>
      <c r="G32" s="315"/>
      <c r="H32" s="315"/>
      <c r="I32" s="315">
        <v>0</v>
      </c>
      <c r="J32" s="248"/>
      <c r="K32" s="248"/>
      <c r="L32" s="248"/>
      <c r="M32" s="312"/>
    </row>
    <row r="33" spans="1:13" s="65" customFormat="1" ht="18.75" customHeight="1">
      <c r="A33" s="248"/>
      <c r="B33" s="248"/>
      <c r="C33" s="248">
        <v>2024</v>
      </c>
      <c r="D33" s="315">
        <f t="shared" si="3"/>
        <v>0</v>
      </c>
      <c r="E33" s="315"/>
      <c r="F33" s="315"/>
      <c r="G33" s="315"/>
      <c r="H33" s="315"/>
      <c r="I33" s="315">
        <v>0</v>
      </c>
      <c r="J33" s="248"/>
      <c r="K33" s="248"/>
      <c r="L33" s="248"/>
      <c r="M33" s="312"/>
    </row>
    <row r="34" spans="1:13" s="65" customFormat="1" ht="18.75" customHeight="1">
      <c r="A34" s="248"/>
      <c r="B34" s="248"/>
      <c r="C34" s="248">
        <v>2025</v>
      </c>
      <c r="D34" s="315">
        <f t="shared" si="3"/>
        <v>0</v>
      </c>
      <c r="E34" s="315"/>
      <c r="F34" s="315"/>
      <c r="G34" s="315"/>
      <c r="H34" s="315"/>
      <c r="I34" s="315">
        <v>0</v>
      </c>
      <c r="J34" s="248"/>
      <c r="K34" s="248"/>
      <c r="L34" s="248"/>
      <c r="M34" s="312"/>
    </row>
    <row r="35" spans="1:13" s="65" customFormat="1" ht="23.25" customHeight="1">
      <c r="A35" s="211" t="s">
        <v>366</v>
      </c>
      <c r="B35" s="211"/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</row>
    <row r="36" spans="1:13" s="65" customFormat="1" ht="17.25" customHeight="1">
      <c r="A36" s="248" t="s">
        <v>367</v>
      </c>
      <c r="B36" s="248" t="s">
        <v>368</v>
      </c>
      <c r="C36" s="248">
        <v>2017</v>
      </c>
      <c r="D36" s="315">
        <f>I36</f>
        <v>7.6</v>
      </c>
      <c r="E36" s="315"/>
      <c r="F36" s="315"/>
      <c r="G36" s="315"/>
      <c r="H36" s="315"/>
      <c r="I36" s="315">
        <v>7.6</v>
      </c>
      <c r="J36" s="318"/>
      <c r="K36" s="248" t="s">
        <v>359</v>
      </c>
      <c r="L36" s="248"/>
      <c r="M36" s="312" t="s">
        <v>369</v>
      </c>
    </row>
    <row r="37" spans="1:14" s="65" customFormat="1" ht="15" customHeight="1">
      <c r="A37" s="248"/>
      <c r="B37" s="248"/>
      <c r="C37" s="248">
        <v>2018</v>
      </c>
      <c r="D37" s="315">
        <f aca="true" t="shared" si="4" ref="D37:D44">SUM(E37:I37)</f>
        <v>1.75</v>
      </c>
      <c r="E37" s="315"/>
      <c r="F37" s="315"/>
      <c r="G37" s="315"/>
      <c r="H37" s="315"/>
      <c r="I37" s="315">
        <v>1.75</v>
      </c>
      <c r="J37" s="318"/>
      <c r="K37" s="248"/>
      <c r="L37" s="248"/>
      <c r="M37" s="312"/>
      <c r="N37" s="65" t="s">
        <v>71</v>
      </c>
    </row>
    <row r="38" spans="1:15" s="65" customFormat="1" ht="18.75" customHeight="1">
      <c r="A38" s="248"/>
      <c r="B38" s="248"/>
      <c r="C38" s="248">
        <v>2019</v>
      </c>
      <c r="D38" s="315">
        <f t="shared" si="4"/>
        <v>7.6</v>
      </c>
      <c r="E38" s="315"/>
      <c r="F38" s="315"/>
      <c r="G38" s="315"/>
      <c r="H38" s="315"/>
      <c r="I38" s="315">
        <v>7.6</v>
      </c>
      <c r="J38" s="318"/>
      <c r="K38" s="248"/>
      <c r="L38" s="248"/>
      <c r="M38" s="312"/>
      <c r="O38" s="198"/>
    </row>
    <row r="39" spans="1:20" s="65" customFormat="1" ht="14.25" customHeight="1">
      <c r="A39" s="248"/>
      <c r="B39" s="248"/>
      <c r="C39" s="320">
        <v>2020</v>
      </c>
      <c r="D39" s="315">
        <f t="shared" si="4"/>
        <v>6.6</v>
      </c>
      <c r="E39" s="315"/>
      <c r="F39" s="315"/>
      <c r="G39" s="315"/>
      <c r="H39" s="315"/>
      <c r="I39" s="315">
        <v>6.6</v>
      </c>
      <c r="J39" s="318"/>
      <c r="K39" s="248"/>
      <c r="L39" s="248"/>
      <c r="M39" s="312"/>
      <c r="T39" s="65" t="s">
        <v>71</v>
      </c>
    </row>
    <row r="40" spans="1:13" s="65" customFormat="1" ht="18" customHeight="1">
      <c r="A40" s="248"/>
      <c r="B40" s="248"/>
      <c r="C40" s="320">
        <v>2021</v>
      </c>
      <c r="D40" s="315">
        <f t="shared" si="4"/>
        <v>5</v>
      </c>
      <c r="E40" s="315"/>
      <c r="F40" s="315"/>
      <c r="G40" s="315"/>
      <c r="H40" s="315"/>
      <c r="I40" s="315">
        <v>5</v>
      </c>
      <c r="J40" s="248"/>
      <c r="K40" s="248"/>
      <c r="L40" s="248"/>
      <c r="M40" s="312"/>
    </row>
    <row r="41" spans="1:13" s="65" customFormat="1" ht="18.75" customHeight="1">
      <c r="A41" s="248"/>
      <c r="B41" s="248"/>
      <c r="C41" s="320">
        <v>2022</v>
      </c>
      <c r="D41" s="315">
        <f t="shared" si="4"/>
        <v>0</v>
      </c>
      <c r="E41" s="315"/>
      <c r="F41" s="315"/>
      <c r="G41" s="315"/>
      <c r="H41" s="315"/>
      <c r="I41" s="315">
        <v>0</v>
      </c>
      <c r="J41" s="248"/>
      <c r="K41" s="248"/>
      <c r="L41" s="248"/>
      <c r="M41" s="312"/>
    </row>
    <row r="42" spans="1:13" s="65" customFormat="1" ht="18" customHeight="1">
      <c r="A42" s="248"/>
      <c r="B42" s="248"/>
      <c r="C42" s="320">
        <v>2023</v>
      </c>
      <c r="D42" s="315">
        <f t="shared" si="4"/>
        <v>0</v>
      </c>
      <c r="E42" s="315"/>
      <c r="F42" s="315"/>
      <c r="G42" s="315"/>
      <c r="H42" s="315"/>
      <c r="I42" s="315">
        <f aca="true" t="shared" si="5" ref="I42:I44">I51+I60+I69</f>
        <v>0</v>
      </c>
      <c r="J42" s="248"/>
      <c r="K42" s="248"/>
      <c r="L42" s="248"/>
      <c r="M42" s="312"/>
    </row>
    <row r="43" spans="1:13" s="65" customFormat="1" ht="18" customHeight="1">
      <c r="A43" s="248"/>
      <c r="B43" s="248"/>
      <c r="C43" s="320">
        <v>2024</v>
      </c>
      <c r="D43" s="315">
        <f t="shared" si="4"/>
        <v>0</v>
      </c>
      <c r="E43" s="315"/>
      <c r="F43" s="315"/>
      <c r="G43" s="315"/>
      <c r="H43" s="315"/>
      <c r="I43" s="315">
        <f t="shared" si="5"/>
        <v>0</v>
      </c>
      <c r="J43" s="248"/>
      <c r="K43" s="248"/>
      <c r="L43" s="248"/>
      <c r="M43" s="312"/>
    </row>
    <row r="44" spans="1:13" s="65" customFormat="1" ht="18" customHeight="1">
      <c r="A44" s="248"/>
      <c r="B44" s="248"/>
      <c r="C44" s="320">
        <v>2025</v>
      </c>
      <c r="D44" s="315">
        <f t="shared" si="4"/>
        <v>0</v>
      </c>
      <c r="E44" s="315"/>
      <c r="F44" s="315"/>
      <c r="G44" s="315"/>
      <c r="H44" s="315"/>
      <c r="I44" s="315">
        <f t="shared" si="5"/>
        <v>0</v>
      </c>
      <c r="J44" s="248"/>
      <c r="K44" s="248"/>
      <c r="L44" s="248"/>
      <c r="M44" s="312"/>
    </row>
    <row r="45" spans="1:13" s="65" customFormat="1" ht="18" customHeight="1">
      <c r="A45" s="248" t="s">
        <v>270</v>
      </c>
      <c r="B45" s="248" t="s">
        <v>370</v>
      </c>
      <c r="C45" s="320">
        <v>2017</v>
      </c>
      <c r="D45" s="315">
        <f>I45</f>
        <v>6.4</v>
      </c>
      <c r="E45" s="315"/>
      <c r="F45" s="315"/>
      <c r="G45" s="315"/>
      <c r="H45" s="315"/>
      <c r="I45" s="315">
        <v>6.4</v>
      </c>
      <c r="J45" s="318"/>
      <c r="K45" s="248" t="s">
        <v>359</v>
      </c>
      <c r="L45" s="248"/>
      <c r="M45" s="312"/>
    </row>
    <row r="46" spans="1:17" s="65" customFormat="1" ht="24" customHeight="1">
      <c r="A46" s="248"/>
      <c r="B46" s="248"/>
      <c r="C46" s="248">
        <v>2018</v>
      </c>
      <c r="D46" s="315">
        <f aca="true" t="shared" si="6" ref="D46:D68">SUM(E46:I46)</f>
        <v>0</v>
      </c>
      <c r="E46" s="315"/>
      <c r="F46" s="315"/>
      <c r="G46" s="315"/>
      <c r="H46" s="315"/>
      <c r="I46" s="315">
        <v>0</v>
      </c>
      <c r="J46" s="318"/>
      <c r="K46" s="248"/>
      <c r="L46" s="248"/>
      <c r="M46" s="312"/>
      <c r="Q46" s="65" t="s">
        <v>71</v>
      </c>
    </row>
    <row r="47" spans="1:13" s="65" customFormat="1" ht="21" customHeight="1">
      <c r="A47" s="248"/>
      <c r="B47" s="248"/>
      <c r="C47" s="248">
        <v>2019</v>
      </c>
      <c r="D47" s="315">
        <f t="shared" si="6"/>
        <v>3</v>
      </c>
      <c r="E47" s="315"/>
      <c r="F47" s="315"/>
      <c r="G47" s="315"/>
      <c r="H47" s="315"/>
      <c r="I47" s="315">
        <v>3</v>
      </c>
      <c r="J47" s="318"/>
      <c r="K47" s="248"/>
      <c r="L47" s="248"/>
      <c r="M47" s="312"/>
    </row>
    <row r="48" spans="1:13" s="65" customFormat="1" ht="18" customHeight="1">
      <c r="A48" s="248"/>
      <c r="B48" s="248"/>
      <c r="C48" s="320">
        <v>2020</v>
      </c>
      <c r="D48" s="315">
        <f t="shared" si="6"/>
        <v>0</v>
      </c>
      <c r="E48" s="315"/>
      <c r="F48" s="315"/>
      <c r="G48" s="315"/>
      <c r="H48" s="315"/>
      <c r="I48" s="315">
        <v>0</v>
      </c>
      <c r="J48" s="318"/>
      <c r="K48" s="248"/>
      <c r="L48" s="248"/>
      <c r="M48" s="312"/>
    </row>
    <row r="49" spans="1:13" s="65" customFormat="1" ht="19.5" customHeight="1">
      <c r="A49" s="248"/>
      <c r="B49" s="248"/>
      <c r="C49" s="320">
        <v>2021</v>
      </c>
      <c r="D49" s="315">
        <f t="shared" si="6"/>
        <v>5</v>
      </c>
      <c r="E49" s="315"/>
      <c r="F49" s="315"/>
      <c r="G49" s="315"/>
      <c r="H49" s="315"/>
      <c r="I49" s="315">
        <v>5</v>
      </c>
      <c r="J49" s="248"/>
      <c r="K49" s="248"/>
      <c r="L49" s="248"/>
      <c r="M49" s="312"/>
    </row>
    <row r="50" spans="1:13" s="65" customFormat="1" ht="21" customHeight="1">
      <c r="A50" s="248"/>
      <c r="B50" s="248"/>
      <c r="C50" s="320">
        <v>2022</v>
      </c>
      <c r="D50" s="315">
        <f t="shared" si="6"/>
        <v>0</v>
      </c>
      <c r="E50" s="315"/>
      <c r="F50" s="315"/>
      <c r="G50" s="315"/>
      <c r="H50" s="315"/>
      <c r="I50" s="315">
        <v>0</v>
      </c>
      <c r="J50" s="248"/>
      <c r="K50" s="248"/>
      <c r="L50" s="248"/>
      <c r="M50" s="312"/>
    </row>
    <row r="51" spans="1:13" s="65" customFormat="1" ht="24" customHeight="1">
      <c r="A51" s="248"/>
      <c r="B51" s="248"/>
      <c r="C51" s="320">
        <v>2023</v>
      </c>
      <c r="D51" s="315">
        <f t="shared" si="6"/>
        <v>0</v>
      </c>
      <c r="E51" s="315"/>
      <c r="F51" s="315"/>
      <c r="G51" s="315"/>
      <c r="H51" s="315"/>
      <c r="I51" s="315">
        <v>0</v>
      </c>
      <c r="J51" s="248"/>
      <c r="K51" s="248"/>
      <c r="L51" s="248"/>
      <c r="M51" s="312"/>
    </row>
    <row r="52" spans="1:13" s="65" customFormat="1" ht="24" customHeight="1">
      <c r="A52" s="248"/>
      <c r="B52" s="248"/>
      <c r="C52" s="320">
        <v>2024</v>
      </c>
      <c r="D52" s="315">
        <f t="shared" si="6"/>
        <v>0</v>
      </c>
      <c r="E52" s="315"/>
      <c r="F52" s="315"/>
      <c r="G52" s="315"/>
      <c r="H52" s="315"/>
      <c r="I52" s="315">
        <v>0</v>
      </c>
      <c r="J52" s="248"/>
      <c r="K52" s="248"/>
      <c r="L52" s="248"/>
      <c r="M52" s="312"/>
    </row>
    <row r="53" spans="1:13" s="65" customFormat="1" ht="24" customHeight="1">
      <c r="A53" s="248"/>
      <c r="B53" s="248"/>
      <c r="C53" s="320">
        <v>2025</v>
      </c>
      <c r="D53" s="315">
        <f t="shared" si="6"/>
        <v>0</v>
      </c>
      <c r="E53" s="315"/>
      <c r="F53" s="315"/>
      <c r="G53" s="315"/>
      <c r="H53" s="315"/>
      <c r="I53" s="315">
        <v>0</v>
      </c>
      <c r="J53" s="248"/>
      <c r="K53" s="248"/>
      <c r="L53" s="248"/>
      <c r="M53" s="312"/>
    </row>
    <row r="54" spans="1:13" s="65" customFormat="1" ht="23.25" customHeight="1">
      <c r="A54" s="248" t="s">
        <v>338</v>
      </c>
      <c r="B54" s="248" t="s">
        <v>371</v>
      </c>
      <c r="C54" s="320">
        <v>2017</v>
      </c>
      <c r="D54" s="315">
        <f t="shared" si="6"/>
        <v>0</v>
      </c>
      <c r="E54" s="315"/>
      <c r="F54" s="315"/>
      <c r="G54" s="315"/>
      <c r="H54" s="315"/>
      <c r="I54" s="315">
        <v>0</v>
      </c>
      <c r="J54" s="248"/>
      <c r="K54" s="248" t="s">
        <v>359</v>
      </c>
      <c r="L54" s="248"/>
      <c r="M54" s="312"/>
    </row>
    <row r="55" spans="1:13" s="65" customFormat="1" ht="20.25" customHeight="1">
      <c r="A55" s="248"/>
      <c r="B55" s="248"/>
      <c r="C55" s="248">
        <v>2018</v>
      </c>
      <c r="D55" s="315">
        <f t="shared" si="6"/>
        <v>1.75</v>
      </c>
      <c r="E55" s="315"/>
      <c r="F55" s="315"/>
      <c r="G55" s="315"/>
      <c r="H55" s="315"/>
      <c r="I55" s="315">
        <v>1.75</v>
      </c>
      <c r="J55" s="318"/>
      <c r="K55" s="248"/>
      <c r="L55" s="248"/>
      <c r="M55" s="312"/>
    </row>
    <row r="56" spans="1:18" s="65" customFormat="1" ht="21" customHeight="1">
      <c r="A56" s="248"/>
      <c r="B56" s="248"/>
      <c r="C56" s="248">
        <v>2019</v>
      </c>
      <c r="D56" s="315">
        <f t="shared" si="6"/>
        <v>0</v>
      </c>
      <c r="E56" s="315"/>
      <c r="F56" s="315"/>
      <c r="G56" s="315"/>
      <c r="H56" s="317"/>
      <c r="I56" s="315">
        <v>0</v>
      </c>
      <c r="J56" s="318"/>
      <c r="K56" s="248"/>
      <c r="L56" s="248"/>
      <c r="M56" s="312"/>
      <c r="Q56" s="65" t="s">
        <v>71</v>
      </c>
      <c r="R56" s="65" t="s">
        <v>71</v>
      </c>
    </row>
    <row r="57" spans="1:13" s="65" customFormat="1" ht="19.5" customHeight="1">
      <c r="A57" s="248"/>
      <c r="B57" s="248"/>
      <c r="C57" s="320">
        <v>2020</v>
      </c>
      <c r="D57" s="315">
        <f t="shared" si="6"/>
        <v>0</v>
      </c>
      <c r="E57" s="315"/>
      <c r="F57" s="315"/>
      <c r="G57" s="315"/>
      <c r="H57" s="317"/>
      <c r="I57" s="315">
        <v>0</v>
      </c>
      <c r="J57" s="318"/>
      <c r="K57" s="248"/>
      <c r="L57" s="248"/>
      <c r="M57" s="312"/>
    </row>
    <row r="58" spans="1:13" s="65" customFormat="1" ht="18" customHeight="1">
      <c r="A58" s="248"/>
      <c r="B58" s="248"/>
      <c r="C58" s="320">
        <v>2021</v>
      </c>
      <c r="D58" s="315">
        <f t="shared" si="6"/>
        <v>0</v>
      </c>
      <c r="E58" s="315"/>
      <c r="F58" s="315"/>
      <c r="G58" s="315"/>
      <c r="H58" s="317"/>
      <c r="I58" s="315">
        <v>0</v>
      </c>
      <c r="J58" s="318"/>
      <c r="K58" s="248"/>
      <c r="L58" s="248"/>
      <c r="M58" s="312"/>
    </row>
    <row r="59" spans="1:13" s="65" customFormat="1" ht="21" customHeight="1">
      <c r="A59" s="248"/>
      <c r="B59" s="248"/>
      <c r="C59" s="320">
        <v>2022</v>
      </c>
      <c r="D59" s="315">
        <f t="shared" si="6"/>
        <v>0</v>
      </c>
      <c r="E59" s="315"/>
      <c r="F59" s="315"/>
      <c r="G59" s="315"/>
      <c r="H59" s="317"/>
      <c r="I59" s="315">
        <v>0</v>
      </c>
      <c r="J59" s="318"/>
      <c r="K59" s="248"/>
      <c r="L59" s="248"/>
      <c r="M59" s="312"/>
    </row>
    <row r="60" spans="1:13" s="65" customFormat="1" ht="22.5" customHeight="1">
      <c r="A60" s="248"/>
      <c r="B60" s="248"/>
      <c r="C60" s="320">
        <v>2023</v>
      </c>
      <c r="D60" s="315">
        <f t="shared" si="6"/>
        <v>0</v>
      </c>
      <c r="E60" s="315"/>
      <c r="F60" s="315"/>
      <c r="G60" s="315"/>
      <c r="H60" s="317"/>
      <c r="I60" s="315">
        <v>0</v>
      </c>
      <c r="J60" s="318"/>
      <c r="K60" s="248"/>
      <c r="L60" s="248"/>
      <c r="M60" s="312"/>
    </row>
    <row r="61" spans="1:13" s="65" customFormat="1" ht="22.5" customHeight="1">
      <c r="A61" s="248"/>
      <c r="B61" s="248"/>
      <c r="C61" s="320">
        <v>2024</v>
      </c>
      <c r="D61" s="315">
        <f t="shared" si="6"/>
        <v>0</v>
      </c>
      <c r="E61" s="315"/>
      <c r="F61" s="315"/>
      <c r="G61" s="315"/>
      <c r="H61" s="317"/>
      <c r="I61" s="315">
        <v>0</v>
      </c>
      <c r="J61" s="318"/>
      <c r="K61" s="248"/>
      <c r="L61" s="248"/>
      <c r="M61" s="312"/>
    </row>
    <row r="62" spans="1:13" s="65" customFormat="1" ht="22.5" customHeight="1">
      <c r="A62" s="248"/>
      <c r="B62" s="248"/>
      <c r="C62" s="320">
        <v>2025</v>
      </c>
      <c r="D62" s="315">
        <f t="shared" si="6"/>
        <v>0</v>
      </c>
      <c r="E62" s="315"/>
      <c r="F62" s="315"/>
      <c r="G62" s="315"/>
      <c r="H62" s="317"/>
      <c r="I62" s="315">
        <v>0</v>
      </c>
      <c r="J62" s="318"/>
      <c r="K62" s="248"/>
      <c r="L62" s="248"/>
      <c r="M62" s="312"/>
    </row>
    <row r="63" spans="1:13" s="65" customFormat="1" ht="20.25" customHeight="1">
      <c r="A63" s="248" t="s">
        <v>372</v>
      </c>
      <c r="B63" s="248" t="s">
        <v>373</v>
      </c>
      <c r="C63" s="320">
        <v>2017</v>
      </c>
      <c r="D63" s="315">
        <f t="shared" si="6"/>
        <v>1.2</v>
      </c>
      <c r="E63" s="315"/>
      <c r="F63" s="315"/>
      <c r="G63" s="315"/>
      <c r="H63" s="317"/>
      <c r="I63" s="315">
        <v>1.2</v>
      </c>
      <c r="J63" s="318"/>
      <c r="K63" s="248" t="s">
        <v>359</v>
      </c>
      <c r="L63" s="248"/>
      <c r="M63" s="312"/>
    </row>
    <row r="64" spans="1:13" s="65" customFormat="1" ht="18.75" customHeight="1">
      <c r="A64" s="248"/>
      <c r="B64" s="248"/>
      <c r="C64" s="248">
        <v>2018</v>
      </c>
      <c r="D64" s="315">
        <f t="shared" si="6"/>
        <v>0</v>
      </c>
      <c r="E64" s="315"/>
      <c r="F64" s="315"/>
      <c r="G64" s="315"/>
      <c r="H64" s="317"/>
      <c r="I64" s="315">
        <v>0</v>
      </c>
      <c r="J64" s="318"/>
      <c r="K64" s="248"/>
      <c r="L64" s="248"/>
      <c r="M64" s="312"/>
    </row>
    <row r="65" spans="1:13" s="65" customFormat="1" ht="20.25" customHeight="1">
      <c r="A65" s="248"/>
      <c r="B65" s="248"/>
      <c r="C65" s="248">
        <v>2019</v>
      </c>
      <c r="D65" s="315">
        <f t="shared" si="6"/>
        <v>4.6</v>
      </c>
      <c r="E65" s="315"/>
      <c r="F65" s="315"/>
      <c r="G65" s="315"/>
      <c r="H65" s="317"/>
      <c r="I65" s="315">
        <v>4.6</v>
      </c>
      <c r="J65" s="318"/>
      <c r="K65" s="248"/>
      <c r="L65" s="248"/>
      <c r="M65" s="312"/>
    </row>
    <row r="66" spans="1:21" s="65" customFormat="1" ht="18.75" customHeight="1">
      <c r="A66" s="248"/>
      <c r="B66" s="248"/>
      <c r="C66" s="320">
        <v>2020</v>
      </c>
      <c r="D66" s="315">
        <f t="shared" si="6"/>
        <v>6</v>
      </c>
      <c r="E66" s="315"/>
      <c r="F66" s="315"/>
      <c r="G66" s="315"/>
      <c r="H66" s="317"/>
      <c r="I66" s="315">
        <v>6</v>
      </c>
      <c r="J66" s="318"/>
      <c r="K66" s="248"/>
      <c r="L66" s="248"/>
      <c r="M66" s="312"/>
      <c r="U66" s="65" t="s">
        <v>71</v>
      </c>
    </row>
    <row r="67" spans="1:13" s="65" customFormat="1" ht="16.5" customHeight="1">
      <c r="A67" s="248"/>
      <c r="B67" s="248"/>
      <c r="C67" s="320">
        <v>2021</v>
      </c>
      <c r="D67" s="315">
        <f t="shared" si="6"/>
        <v>0</v>
      </c>
      <c r="E67" s="315"/>
      <c r="F67" s="315"/>
      <c r="G67" s="315"/>
      <c r="H67" s="317"/>
      <c r="I67" s="315">
        <v>0</v>
      </c>
      <c r="J67" s="248"/>
      <c r="K67" s="248"/>
      <c r="L67" s="248"/>
      <c r="M67" s="312"/>
    </row>
    <row r="68" spans="1:13" s="65" customFormat="1" ht="21" customHeight="1">
      <c r="A68" s="248"/>
      <c r="B68" s="248"/>
      <c r="C68" s="320">
        <v>2022</v>
      </c>
      <c r="D68" s="315">
        <f t="shared" si="6"/>
        <v>0</v>
      </c>
      <c r="E68" s="315"/>
      <c r="F68" s="315"/>
      <c r="G68" s="315"/>
      <c r="H68" s="317"/>
      <c r="I68" s="315">
        <v>0</v>
      </c>
      <c r="J68" s="248"/>
      <c r="K68" s="248"/>
      <c r="L68" s="248"/>
      <c r="M68" s="312"/>
    </row>
    <row r="69" spans="1:13" s="65" customFormat="1" ht="21" customHeight="1">
      <c r="A69" s="248"/>
      <c r="B69" s="248"/>
      <c r="C69" s="320">
        <v>2023</v>
      </c>
      <c r="D69" s="315">
        <f aca="true" t="shared" si="7" ref="D69:D72">I69</f>
        <v>0</v>
      </c>
      <c r="E69" s="315"/>
      <c r="F69" s="315"/>
      <c r="G69" s="315"/>
      <c r="H69" s="317"/>
      <c r="I69" s="315">
        <v>0</v>
      </c>
      <c r="J69" s="248"/>
      <c r="K69" s="248"/>
      <c r="L69" s="248"/>
      <c r="M69" s="312"/>
    </row>
    <row r="70" spans="1:13" s="65" customFormat="1" ht="21" customHeight="1">
      <c r="A70" s="248"/>
      <c r="B70" s="248"/>
      <c r="C70" s="320">
        <v>2024</v>
      </c>
      <c r="D70" s="315">
        <f t="shared" si="7"/>
        <v>0</v>
      </c>
      <c r="E70" s="315"/>
      <c r="F70" s="315"/>
      <c r="G70" s="315"/>
      <c r="H70" s="317"/>
      <c r="I70" s="315">
        <v>0</v>
      </c>
      <c r="J70" s="248"/>
      <c r="K70" s="248"/>
      <c r="L70" s="248"/>
      <c r="M70" s="312"/>
    </row>
    <row r="71" spans="1:13" s="65" customFormat="1" ht="21" customHeight="1">
      <c r="A71" s="248"/>
      <c r="B71" s="248"/>
      <c r="C71" s="320">
        <v>2025</v>
      </c>
      <c r="D71" s="315">
        <f t="shared" si="7"/>
        <v>0</v>
      </c>
      <c r="E71" s="315"/>
      <c r="F71" s="315"/>
      <c r="G71" s="315"/>
      <c r="H71" s="317"/>
      <c r="I71" s="315">
        <v>0</v>
      </c>
      <c r="J71" s="248"/>
      <c r="K71" s="248"/>
      <c r="L71" s="248"/>
      <c r="M71" s="312"/>
    </row>
    <row r="72" spans="1:13" s="65" customFormat="1" ht="19.5" customHeight="1" hidden="1">
      <c r="A72" s="248" t="s">
        <v>374</v>
      </c>
      <c r="B72" s="248" t="s">
        <v>375</v>
      </c>
      <c r="C72" s="320">
        <v>2017</v>
      </c>
      <c r="D72" s="315">
        <f t="shared" si="7"/>
        <v>0</v>
      </c>
      <c r="E72" s="315"/>
      <c r="F72" s="315"/>
      <c r="G72" s="315"/>
      <c r="H72" s="317"/>
      <c r="I72" s="315">
        <v>0</v>
      </c>
      <c r="J72" s="318"/>
      <c r="K72" s="248" t="s">
        <v>359</v>
      </c>
      <c r="L72" s="248"/>
      <c r="M72" s="312"/>
    </row>
    <row r="73" spans="1:13" s="65" customFormat="1" ht="15" customHeight="1" hidden="1">
      <c r="A73" s="248"/>
      <c r="B73" s="248"/>
      <c r="C73" s="248">
        <v>2018</v>
      </c>
      <c r="D73" s="315">
        <f aca="true" t="shared" si="8" ref="D73:D75">SUM(E73:I73)</f>
        <v>0</v>
      </c>
      <c r="E73" s="315"/>
      <c r="F73" s="315"/>
      <c r="G73" s="315"/>
      <c r="H73" s="317"/>
      <c r="I73" s="315">
        <v>0</v>
      </c>
      <c r="J73" s="318"/>
      <c r="K73" s="248"/>
      <c r="L73" s="248"/>
      <c r="M73" s="312"/>
    </row>
    <row r="74" spans="1:13" s="65" customFormat="1" ht="27" customHeight="1" hidden="1">
      <c r="A74" s="248"/>
      <c r="B74" s="248"/>
      <c r="C74" s="248">
        <v>2019</v>
      </c>
      <c r="D74" s="315">
        <f t="shared" si="8"/>
        <v>0</v>
      </c>
      <c r="E74" s="315"/>
      <c r="F74" s="315"/>
      <c r="G74" s="315"/>
      <c r="H74" s="317"/>
      <c r="I74" s="315">
        <v>0</v>
      </c>
      <c r="J74" s="318"/>
      <c r="K74" s="248"/>
      <c r="L74" s="248"/>
      <c r="M74" s="312"/>
    </row>
    <row r="75" spans="1:16" s="65" customFormat="1" ht="21" customHeight="1" hidden="1">
      <c r="A75" s="248"/>
      <c r="B75" s="248"/>
      <c r="C75" s="320">
        <v>2020</v>
      </c>
      <c r="D75" s="315">
        <f t="shared" si="8"/>
        <v>0</v>
      </c>
      <c r="E75" s="315"/>
      <c r="F75" s="315"/>
      <c r="G75" s="315"/>
      <c r="H75" s="317"/>
      <c r="I75" s="315">
        <v>0</v>
      </c>
      <c r="J75" s="318"/>
      <c r="K75" s="248"/>
      <c r="L75" s="248"/>
      <c r="M75" s="312"/>
      <c r="P75" s="65" t="s">
        <v>71</v>
      </c>
    </row>
    <row r="76" spans="1:13" s="65" customFormat="1" ht="18" customHeight="1" hidden="1">
      <c r="A76" s="248"/>
      <c r="B76" s="248"/>
      <c r="C76" s="320">
        <v>2021</v>
      </c>
      <c r="D76" s="315">
        <v>0</v>
      </c>
      <c r="E76" s="315"/>
      <c r="F76" s="315"/>
      <c r="G76" s="315"/>
      <c r="H76" s="317"/>
      <c r="I76" s="315">
        <v>0</v>
      </c>
      <c r="J76" s="248"/>
      <c r="K76" s="248"/>
      <c r="L76" s="248"/>
      <c r="M76" s="312"/>
    </row>
    <row r="77" spans="1:13" s="65" customFormat="1" ht="22.5" customHeight="1" hidden="1">
      <c r="A77" s="248"/>
      <c r="B77" s="248"/>
      <c r="C77" s="320">
        <v>2022</v>
      </c>
      <c r="D77" s="315">
        <f>I625</f>
        <v>0</v>
      </c>
      <c r="E77" s="315"/>
      <c r="F77" s="315"/>
      <c r="G77" s="315"/>
      <c r="H77" s="317"/>
      <c r="I77" s="315">
        <v>0</v>
      </c>
      <c r="J77" s="248"/>
      <c r="K77" s="248"/>
      <c r="L77" s="248"/>
      <c r="M77" s="312"/>
    </row>
    <row r="78" spans="1:13" s="65" customFormat="1" ht="18" customHeight="1" hidden="1">
      <c r="A78" s="248"/>
      <c r="B78" s="248"/>
      <c r="C78" s="320">
        <v>2023</v>
      </c>
      <c r="D78" s="315">
        <f aca="true" t="shared" si="9" ref="D78:D79">I78</f>
        <v>0</v>
      </c>
      <c r="E78" s="315"/>
      <c r="F78" s="315"/>
      <c r="G78" s="315"/>
      <c r="H78" s="317"/>
      <c r="I78" s="315">
        <v>0</v>
      </c>
      <c r="J78" s="248"/>
      <c r="K78" s="248"/>
      <c r="L78" s="248"/>
      <c r="M78" s="312"/>
    </row>
    <row r="79" spans="1:13" s="65" customFormat="1" ht="17.25" customHeight="1">
      <c r="A79" s="248" t="s">
        <v>376</v>
      </c>
      <c r="B79" s="248" t="s">
        <v>377</v>
      </c>
      <c r="C79" s="320">
        <v>2017</v>
      </c>
      <c r="D79" s="315">
        <f t="shared" si="9"/>
        <v>0</v>
      </c>
      <c r="E79" s="315"/>
      <c r="F79" s="315"/>
      <c r="G79" s="315"/>
      <c r="H79" s="317"/>
      <c r="I79" s="315">
        <v>0</v>
      </c>
      <c r="J79" s="318"/>
      <c r="K79" s="248" t="s">
        <v>359</v>
      </c>
      <c r="L79" s="248"/>
      <c r="M79" s="312"/>
    </row>
    <row r="80" spans="1:13" s="65" customFormat="1" ht="18" customHeight="1">
      <c r="A80" s="248"/>
      <c r="B80" s="248"/>
      <c r="C80" s="248">
        <v>2018</v>
      </c>
      <c r="D80" s="315">
        <f aca="true" t="shared" si="10" ref="D80:D82">SUM(E80:I80)</f>
        <v>0</v>
      </c>
      <c r="E80" s="315"/>
      <c r="F80" s="315"/>
      <c r="G80" s="315"/>
      <c r="H80" s="317"/>
      <c r="I80" s="315">
        <v>0</v>
      </c>
      <c r="J80" s="318"/>
      <c r="K80" s="248"/>
      <c r="L80" s="248"/>
      <c r="M80" s="312"/>
    </row>
    <row r="81" spans="1:15" s="65" customFormat="1" ht="21" customHeight="1">
      <c r="A81" s="248"/>
      <c r="B81" s="248"/>
      <c r="C81" s="248">
        <v>2019</v>
      </c>
      <c r="D81" s="315">
        <f t="shared" si="10"/>
        <v>0</v>
      </c>
      <c r="E81" s="315"/>
      <c r="F81" s="315"/>
      <c r="G81" s="315"/>
      <c r="H81" s="317"/>
      <c r="I81" s="315">
        <v>0</v>
      </c>
      <c r="J81" s="318"/>
      <c r="K81" s="248"/>
      <c r="L81" s="248"/>
      <c r="M81" s="312"/>
      <c r="O81" s="65" t="s">
        <v>71</v>
      </c>
    </row>
    <row r="82" spans="1:13" s="65" customFormat="1" ht="18" customHeight="1">
      <c r="A82" s="248"/>
      <c r="B82" s="248"/>
      <c r="C82" s="320">
        <v>2020</v>
      </c>
      <c r="D82" s="315">
        <f t="shared" si="10"/>
        <v>0</v>
      </c>
      <c r="E82" s="315"/>
      <c r="F82" s="315"/>
      <c r="G82" s="315"/>
      <c r="H82" s="317"/>
      <c r="I82" s="315">
        <v>0</v>
      </c>
      <c r="J82" s="318"/>
      <c r="K82" s="248"/>
      <c r="L82" s="248"/>
      <c r="M82" s="312"/>
    </row>
    <row r="83" spans="1:13" s="65" customFormat="1" ht="24" customHeight="1">
      <c r="A83" s="248"/>
      <c r="B83" s="248"/>
      <c r="C83" s="320">
        <v>2021</v>
      </c>
      <c r="D83" s="315">
        <v>0</v>
      </c>
      <c r="E83" s="315"/>
      <c r="F83" s="315"/>
      <c r="G83" s="315"/>
      <c r="H83" s="317"/>
      <c r="I83" s="315">
        <v>0</v>
      </c>
      <c r="J83" s="248"/>
      <c r="K83" s="248"/>
      <c r="L83" s="248"/>
      <c r="M83" s="312"/>
    </row>
    <row r="84" spans="1:13" s="65" customFormat="1" ht="21.75" customHeight="1">
      <c r="A84" s="248"/>
      <c r="B84" s="248"/>
      <c r="C84" s="320">
        <v>2022</v>
      </c>
      <c r="D84" s="315">
        <f>I676</f>
        <v>0</v>
      </c>
      <c r="E84" s="315"/>
      <c r="F84" s="315"/>
      <c r="G84" s="315"/>
      <c r="H84" s="317"/>
      <c r="I84" s="315">
        <v>0</v>
      </c>
      <c r="J84" s="248"/>
      <c r="K84" s="248"/>
      <c r="L84" s="248"/>
      <c r="M84" s="312"/>
    </row>
    <row r="85" spans="1:13" s="65" customFormat="1" ht="24.75" customHeight="1">
      <c r="A85" s="248"/>
      <c r="B85" s="248"/>
      <c r="C85" s="320">
        <v>2023</v>
      </c>
      <c r="D85" s="315">
        <f aca="true" t="shared" si="11" ref="D85:D86">I85</f>
        <v>0</v>
      </c>
      <c r="E85" s="315"/>
      <c r="F85" s="315"/>
      <c r="G85" s="315"/>
      <c r="H85" s="317"/>
      <c r="I85" s="315">
        <v>0</v>
      </c>
      <c r="J85" s="248"/>
      <c r="K85" s="248"/>
      <c r="L85" s="248"/>
      <c r="M85" s="312"/>
    </row>
    <row r="86" spans="1:13" s="65" customFormat="1" ht="21.75" customHeight="1">
      <c r="A86" s="248" t="s">
        <v>378</v>
      </c>
      <c r="B86" s="248" t="s">
        <v>379</v>
      </c>
      <c r="C86" s="320">
        <v>2017</v>
      </c>
      <c r="D86" s="315">
        <f t="shared" si="11"/>
        <v>0</v>
      </c>
      <c r="E86" s="315"/>
      <c r="F86" s="315"/>
      <c r="G86" s="315"/>
      <c r="H86" s="317"/>
      <c r="I86" s="315">
        <v>0</v>
      </c>
      <c r="J86" s="318"/>
      <c r="K86" s="248" t="s">
        <v>359</v>
      </c>
      <c r="L86" s="248"/>
      <c r="M86" s="312"/>
    </row>
    <row r="87" spans="1:13" s="65" customFormat="1" ht="21" customHeight="1">
      <c r="A87" s="248"/>
      <c r="B87" s="248"/>
      <c r="C87" s="248">
        <v>2018</v>
      </c>
      <c r="D87" s="315">
        <f aca="true" t="shared" si="12" ref="D87:D89">SUM(E87:I87)</f>
        <v>0</v>
      </c>
      <c r="E87" s="315"/>
      <c r="F87" s="315"/>
      <c r="G87" s="315"/>
      <c r="H87" s="317"/>
      <c r="I87" s="315">
        <v>0</v>
      </c>
      <c r="J87" s="318"/>
      <c r="K87" s="248"/>
      <c r="L87" s="248"/>
      <c r="M87" s="312"/>
    </row>
    <row r="88" spans="1:15" s="65" customFormat="1" ht="17.25" customHeight="1">
      <c r="A88" s="248"/>
      <c r="B88" s="248"/>
      <c r="C88" s="248">
        <v>2019</v>
      </c>
      <c r="D88" s="315">
        <f t="shared" si="12"/>
        <v>0</v>
      </c>
      <c r="E88" s="315"/>
      <c r="F88" s="315"/>
      <c r="G88" s="315"/>
      <c r="H88" s="317"/>
      <c r="I88" s="315">
        <v>0</v>
      </c>
      <c r="J88" s="318"/>
      <c r="K88" s="248"/>
      <c r="L88" s="248"/>
      <c r="M88" s="312"/>
      <c r="O88" s="65" t="s">
        <v>71</v>
      </c>
    </row>
    <row r="89" spans="1:13" s="65" customFormat="1" ht="19.5" customHeight="1">
      <c r="A89" s="248"/>
      <c r="B89" s="248"/>
      <c r="C89" s="320">
        <v>2020</v>
      </c>
      <c r="D89" s="315">
        <f t="shared" si="12"/>
        <v>0</v>
      </c>
      <c r="E89" s="315"/>
      <c r="F89" s="315"/>
      <c r="G89" s="315"/>
      <c r="H89" s="317"/>
      <c r="I89" s="315">
        <v>0</v>
      </c>
      <c r="J89" s="318"/>
      <c r="K89" s="248"/>
      <c r="L89" s="248"/>
      <c r="M89" s="312"/>
    </row>
    <row r="90" spans="1:13" s="65" customFormat="1" ht="19.5" customHeight="1">
      <c r="A90" s="248"/>
      <c r="B90" s="248"/>
      <c r="C90" s="320">
        <v>2021</v>
      </c>
      <c r="D90" s="315">
        <v>0</v>
      </c>
      <c r="E90" s="315"/>
      <c r="F90" s="315"/>
      <c r="G90" s="315"/>
      <c r="H90" s="317"/>
      <c r="I90" s="315">
        <v>0</v>
      </c>
      <c r="J90" s="248"/>
      <c r="K90" s="248"/>
      <c r="L90" s="248"/>
      <c r="M90" s="312"/>
    </row>
    <row r="91" spans="1:13" s="65" customFormat="1" ht="21" customHeight="1">
      <c r="A91" s="248"/>
      <c r="B91" s="248"/>
      <c r="C91" s="320">
        <v>2022</v>
      </c>
      <c r="D91" s="315">
        <f aca="true" t="shared" si="13" ref="D91:D93">I91</f>
        <v>0</v>
      </c>
      <c r="E91" s="315"/>
      <c r="F91" s="315"/>
      <c r="G91" s="315"/>
      <c r="H91" s="317"/>
      <c r="I91" s="315">
        <v>0</v>
      </c>
      <c r="J91" s="248"/>
      <c r="K91" s="248"/>
      <c r="L91" s="248"/>
      <c r="M91" s="312"/>
    </row>
    <row r="92" spans="1:13" s="65" customFormat="1" ht="18" customHeight="1">
      <c r="A92" s="248"/>
      <c r="B92" s="248"/>
      <c r="C92" s="320">
        <v>2023</v>
      </c>
      <c r="D92" s="315">
        <f t="shared" si="13"/>
        <v>0</v>
      </c>
      <c r="E92" s="315"/>
      <c r="F92" s="315"/>
      <c r="G92" s="315"/>
      <c r="H92" s="317"/>
      <c r="I92" s="315">
        <v>0</v>
      </c>
      <c r="J92" s="248"/>
      <c r="K92" s="248"/>
      <c r="L92" s="248"/>
      <c r="M92" s="312"/>
    </row>
    <row r="93" spans="1:13" s="65" customFormat="1" ht="24.75" customHeight="1">
      <c r="A93" s="248" t="s">
        <v>380</v>
      </c>
      <c r="B93" s="248" t="s">
        <v>381</v>
      </c>
      <c r="C93" s="320">
        <v>2017</v>
      </c>
      <c r="D93" s="315">
        <f t="shared" si="13"/>
        <v>0</v>
      </c>
      <c r="E93" s="315"/>
      <c r="F93" s="315"/>
      <c r="G93" s="315"/>
      <c r="H93" s="317"/>
      <c r="I93" s="315">
        <v>0</v>
      </c>
      <c r="J93" s="318"/>
      <c r="K93" s="248" t="s">
        <v>359</v>
      </c>
      <c r="L93" s="248"/>
      <c r="M93" s="312"/>
    </row>
    <row r="94" spans="1:13" s="65" customFormat="1" ht="24" customHeight="1">
      <c r="A94" s="248"/>
      <c r="B94" s="248"/>
      <c r="C94" s="248">
        <v>2018</v>
      </c>
      <c r="D94" s="315">
        <f aca="true" t="shared" si="14" ref="D94:D96">SUM(E94:I94)</f>
        <v>0</v>
      </c>
      <c r="E94" s="315"/>
      <c r="F94" s="315"/>
      <c r="G94" s="315"/>
      <c r="H94" s="317"/>
      <c r="I94" s="315">
        <v>0</v>
      </c>
      <c r="J94" s="318"/>
      <c r="K94" s="248"/>
      <c r="L94" s="248"/>
      <c r="M94" s="312"/>
    </row>
    <row r="95" spans="1:14" s="65" customFormat="1" ht="16.5" customHeight="1">
      <c r="A95" s="248"/>
      <c r="B95" s="248"/>
      <c r="C95" s="248">
        <v>2019</v>
      </c>
      <c r="D95" s="315">
        <f t="shared" si="14"/>
        <v>0</v>
      </c>
      <c r="E95" s="315"/>
      <c r="F95" s="315"/>
      <c r="G95" s="315"/>
      <c r="H95" s="317"/>
      <c r="I95" s="315">
        <v>0</v>
      </c>
      <c r="J95" s="318"/>
      <c r="K95" s="248"/>
      <c r="L95" s="248"/>
      <c r="M95" s="312"/>
      <c r="N95" s="65" t="s">
        <v>71</v>
      </c>
    </row>
    <row r="96" spans="1:13" s="65" customFormat="1" ht="18" customHeight="1">
      <c r="A96" s="248"/>
      <c r="B96" s="248"/>
      <c r="C96" s="320">
        <v>2020</v>
      </c>
      <c r="D96" s="315">
        <f t="shared" si="14"/>
        <v>0</v>
      </c>
      <c r="E96" s="315"/>
      <c r="F96" s="315"/>
      <c r="G96" s="315"/>
      <c r="H96" s="317"/>
      <c r="I96" s="315">
        <v>0</v>
      </c>
      <c r="J96" s="318"/>
      <c r="K96" s="248"/>
      <c r="L96" s="248"/>
      <c r="M96" s="312"/>
    </row>
    <row r="97" spans="1:13" s="65" customFormat="1" ht="26.25" customHeight="1">
      <c r="A97" s="248"/>
      <c r="B97" s="248"/>
      <c r="C97" s="320">
        <v>2021</v>
      </c>
      <c r="D97" s="315">
        <v>0</v>
      </c>
      <c r="E97" s="315"/>
      <c r="F97" s="315"/>
      <c r="G97" s="315"/>
      <c r="H97" s="317"/>
      <c r="I97" s="315">
        <v>0</v>
      </c>
      <c r="J97" s="248"/>
      <c r="K97" s="248"/>
      <c r="L97" s="248"/>
      <c r="M97" s="312"/>
    </row>
    <row r="98" spans="1:13" s="65" customFormat="1" ht="21" customHeight="1">
      <c r="A98" s="248"/>
      <c r="B98" s="248"/>
      <c r="C98" s="320">
        <v>2022</v>
      </c>
      <c r="D98" s="315">
        <f aca="true" t="shared" si="15" ref="D98:D100">I98</f>
        <v>0</v>
      </c>
      <c r="E98" s="315"/>
      <c r="F98" s="315"/>
      <c r="G98" s="315"/>
      <c r="H98" s="317"/>
      <c r="I98" s="315">
        <v>0</v>
      </c>
      <c r="J98" s="248"/>
      <c r="K98" s="248"/>
      <c r="L98" s="248"/>
      <c r="M98" s="312"/>
    </row>
    <row r="99" spans="1:13" s="65" customFormat="1" ht="18" customHeight="1">
      <c r="A99" s="248"/>
      <c r="B99" s="248"/>
      <c r="C99" s="320">
        <v>2023</v>
      </c>
      <c r="D99" s="315">
        <f t="shared" si="15"/>
        <v>0</v>
      </c>
      <c r="E99" s="315"/>
      <c r="F99" s="315"/>
      <c r="G99" s="315"/>
      <c r="H99" s="317"/>
      <c r="I99" s="315">
        <v>0</v>
      </c>
      <c r="J99" s="248"/>
      <c r="K99" s="248"/>
      <c r="L99" s="248"/>
      <c r="M99" s="312"/>
    </row>
    <row r="100" spans="1:13" s="65" customFormat="1" ht="18" customHeight="1">
      <c r="A100" s="248" t="s">
        <v>382</v>
      </c>
      <c r="B100" s="248" t="s">
        <v>383</v>
      </c>
      <c r="C100" s="320">
        <v>2017</v>
      </c>
      <c r="D100" s="315">
        <f t="shared" si="15"/>
        <v>0</v>
      </c>
      <c r="E100" s="315"/>
      <c r="F100" s="315"/>
      <c r="G100" s="315"/>
      <c r="H100" s="317"/>
      <c r="I100" s="315">
        <v>0</v>
      </c>
      <c r="J100" s="318"/>
      <c r="K100" s="248" t="s">
        <v>359</v>
      </c>
      <c r="L100" s="248"/>
      <c r="M100" s="312"/>
    </row>
    <row r="101" spans="1:13" s="65" customFormat="1" ht="21" customHeight="1">
      <c r="A101" s="248"/>
      <c r="B101" s="248"/>
      <c r="C101" s="248">
        <v>2018</v>
      </c>
      <c r="D101" s="315">
        <f aca="true" t="shared" si="16" ref="D101:D103">SUM(E101:I101)</f>
        <v>0</v>
      </c>
      <c r="E101" s="315"/>
      <c r="F101" s="315"/>
      <c r="G101" s="315"/>
      <c r="H101" s="317"/>
      <c r="I101" s="315">
        <v>0</v>
      </c>
      <c r="J101" s="318"/>
      <c r="K101" s="248"/>
      <c r="L101" s="248"/>
      <c r="M101" s="312"/>
    </row>
    <row r="102" spans="1:16" s="65" customFormat="1" ht="18" customHeight="1">
      <c r="A102" s="248"/>
      <c r="B102" s="248"/>
      <c r="C102" s="248">
        <v>2019</v>
      </c>
      <c r="D102" s="315">
        <f t="shared" si="16"/>
        <v>0</v>
      </c>
      <c r="E102" s="315"/>
      <c r="F102" s="315"/>
      <c r="G102" s="315"/>
      <c r="H102" s="317"/>
      <c r="I102" s="315">
        <v>0</v>
      </c>
      <c r="J102" s="318"/>
      <c r="K102" s="248"/>
      <c r="L102" s="248"/>
      <c r="M102" s="312"/>
      <c r="P102" s="65" t="s">
        <v>71</v>
      </c>
    </row>
    <row r="103" spans="1:13" s="65" customFormat="1" ht="23.25" customHeight="1">
      <c r="A103" s="248"/>
      <c r="B103" s="248"/>
      <c r="C103" s="320">
        <v>2020</v>
      </c>
      <c r="D103" s="315">
        <f t="shared" si="16"/>
        <v>0</v>
      </c>
      <c r="E103" s="315"/>
      <c r="F103" s="315"/>
      <c r="G103" s="315"/>
      <c r="H103" s="317"/>
      <c r="I103" s="315">
        <v>0</v>
      </c>
      <c r="J103" s="318"/>
      <c r="K103" s="248"/>
      <c r="L103" s="248"/>
      <c r="M103" s="312"/>
    </row>
    <row r="104" spans="1:13" s="65" customFormat="1" ht="20.25" customHeight="1">
      <c r="A104" s="248"/>
      <c r="B104" s="248"/>
      <c r="C104" s="320">
        <v>2021</v>
      </c>
      <c r="D104" s="315">
        <v>0</v>
      </c>
      <c r="E104" s="315"/>
      <c r="F104" s="315"/>
      <c r="G104" s="315"/>
      <c r="H104" s="317"/>
      <c r="I104" s="315">
        <v>0</v>
      </c>
      <c r="J104" s="318"/>
      <c r="K104" s="248"/>
      <c r="L104" s="248"/>
      <c r="M104" s="321"/>
    </row>
    <row r="105" spans="1:13" s="65" customFormat="1" ht="18" customHeight="1">
      <c r="A105" s="248"/>
      <c r="B105" s="248"/>
      <c r="C105" s="320">
        <v>2022</v>
      </c>
      <c r="D105" s="315">
        <f aca="true" t="shared" si="17" ref="D105:D107">I105</f>
        <v>0</v>
      </c>
      <c r="E105" s="315"/>
      <c r="F105" s="315"/>
      <c r="G105" s="315"/>
      <c r="H105" s="317"/>
      <c r="I105" s="315">
        <v>0</v>
      </c>
      <c r="J105" s="318"/>
      <c r="K105" s="248"/>
      <c r="L105" s="248"/>
      <c r="M105" s="321"/>
    </row>
    <row r="106" spans="1:13" s="65" customFormat="1" ht="23.25" customHeight="1">
      <c r="A106" s="248"/>
      <c r="B106" s="248"/>
      <c r="C106" s="320">
        <v>2023</v>
      </c>
      <c r="D106" s="315">
        <f t="shared" si="17"/>
        <v>0</v>
      </c>
      <c r="E106" s="315"/>
      <c r="F106" s="315"/>
      <c r="G106" s="315"/>
      <c r="H106" s="317"/>
      <c r="I106" s="315">
        <v>0</v>
      </c>
      <c r="J106" s="322"/>
      <c r="K106" s="248"/>
      <c r="L106" s="248"/>
      <c r="M106" s="321"/>
    </row>
    <row r="107" spans="1:13" s="65" customFormat="1" ht="16.5" customHeight="1">
      <c r="A107" s="248"/>
      <c r="B107" s="323" t="s">
        <v>384</v>
      </c>
      <c r="C107" s="320">
        <v>2017</v>
      </c>
      <c r="D107" s="315">
        <f t="shared" si="17"/>
        <v>13.1</v>
      </c>
      <c r="E107" s="315">
        <v>0</v>
      </c>
      <c r="F107" s="315"/>
      <c r="G107" s="315"/>
      <c r="H107" s="315">
        <v>0</v>
      </c>
      <c r="I107" s="315">
        <f>I18+I26+I45+I54+I63+I72+I79+I86+I93+I100</f>
        <v>13.1</v>
      </c>
      <c r="J107" s="324"/>
      <c r="K107" s="248"/>
      <c r="L107" s="248"/>
      <c r="M107" s="321"/>
    </row>
    <row r="108" spans="1:13" s="65" customFormat="1" ht="15">
      <c r="A108" s="248"/>
      <c r="B108" s="323"/>
      <c r="C108" s="248">
        <v>2018</v>
      </c>
      <c r="D108" s="315">
        <f aca="true" t="shared" si="18" ref="D108:D110">SUM(E108:I108)</f>
        <v>7.25</v>
      </c>
      <c r="E108" s="315">
        <f aca="true" t="shared" si="19" ref="E108:E110">SUM(E19+E27)</f>
        <v>0</v>
      </c>
      <c r="F108" s="315"/>
      <c r="G108" s="315"/>
      <c r="H108" s="315">
        <f aca="true" t="shared" si="20" ref="H108:H110">SUM(H19+H27)</f>
        <v>0</v>
      </c>
      <c r="I108" s="315">
        <f aca="true" t="shared" si="21" ref="I108:I109">SUM(I19+I27+I46+I55+I64+I73+I80+I87+I94+I101)</f>
        <v>7.25</v>
      </c>
      <c r="J108" s="248"/>
      <c r="K108" s="248"/>
      <c r="L108" s="248"/>
      <c r="M108" s="325"/>
    </row>
    <row r="109" spans="1:13" s="65" customFormat="1" ht="15">
      <c r="A109" s="248"/>
      <c r="B109" s="323"/>
      <c r="C109" s="248">
        <v>2019</v>
      </c>
      <c r="D109" s="315">
        <f t="shared" si="18"/>
        <v>13.1</v>
      </c>
      <c r="E109" s="326">
        <f t="shared" si="19"/>
        <v>0</v>
      </c>
      <c r="F109" s="326"/>
      <c r="G109" s="326"/>
      <c r="H109" s="326">
        <f t="shared" si="20"/>
        <v>0</v>
      </c>
      <c r="I109" s="326">
        <f t="shared" si="21"/>
        <v>13.1</v>
      </c>
      <c r="J109" s="248"/>
      <c r="K109" s="248"/>
      <c r="L109" s="248"/>
      <c r="M109" s="325"/>
    </row>
    <row r="110" spans="1:13" s="65" customFormat="1" ht="15">
      <c r="A110" s="248"/>
      <c r="B110" s="323"/>
      <c r="C110" s="320">
        <v>2020</v>
      </c>
      <c r="D110" s="315">
        <f t="shared" si="18"/>
        <v>10.807</v>
      </c>
      <c r="E110" s="315">
        <f t="shared" si="19"/>
        <v>0</v>
      </c>
      <c r="F110" s="315"/>
      <c r="G110" s="315"/>
      <c r="H110" s="315">
        <f t="shared" si="20"/>
        <v>0</v>
      </c>
      <c r="I110" s="44">
        <f>I66+I29</f>
        <v>10.807</v>
      </c>
      <c r="J110" s="248"/>
      <c r="K110" s="248"/>
      <c r="L110" s="248"/>
      <c r="M110" s="325"/>
    </row>
    <row r="111" spans="1:13" s="65" customFormat="1" ht="15">
      <c r="A111" s="248"/>
      <c r="B111" s="323"/>
      <c r="C111" s="320">
        <v>2021</v>
      </c>
      <c r="D111" s="315">
        <f aca="true" t="shared" si="22" ref="D111:D113">I111</f>
        <v>6.4990000000000006</v>
      </c>
      <c r="E111" s="327">
        <v>0</v>
      </c>
      <c r="F111" s="315"/>
      <c r="G111" s="315"/>
      <c r="H111" s="315">
        <v>0</v>
      </c>
      <c r="I111" s="315">
        <f>I30+I40</f>
        <v>6.4990000000000006</v>
      </c>
      <c r="J111" s="248"/>
      <c r="K111" s="248"/>
      <c r="L111" s="248"/>
      <c r="M111" s="325"/>
    </row>
    <row r="112" spans="1:13" s="65" customFormat="1" ht="15">
      <c r="A112" s="248"/>
      <c r="B112" s="323"/>
      <c r="C112" s="320">
        <v>2022</v>
      </c>
      <c r="D112" s="315">
        <f t="shared" si="22"/>
        <v>1.5</v>
      </c>
      <c r="E112" s="315">
        <v>0</v>
      </c>
      <c r="F112" s="315"/>
      <c r="G112" s="315"/>
      <c r="H112" s="315">
        <v>0</v>
      </c>
      <c r="I112" s="315">
        <f aca="true" t="shared" si="23" ref="I112:I113">I23+I31+I41</f>
        <v>1.5</v>
      </c>
      <c r="J112" s="248"/>
      <c r="K112" s="248"/>
      <c r="L112" s="248"/>
      <c r="M112" s="325"/>
    </row>
    <row r="113" spans="1:13" s="65" customFormat="1" ht="15">
      <c r="A113" s="248"/>
      <c r="B113" s="323"/>
      <c r="C113" s="320">
        <v>2023</v>
      </c>
      <c r="D113" s="315">
        <f t="shared" si="22"/>
        <v>0</v>
      </c>
      <c r="E113" s="315">
        <v>0</v>
      </c>
      <c r="F113" s="315"/>
      <c r="G113" s="315"/>
      <c r="H113" s="315">
        <v>0</v>
      </c>
      <c r="I113" s="315">
        <f t="shared" si="23"/>
        <v>0</v>
      </c>
      <c r="J113" s="248"/>
      <c r="K113" s="248"/>
      <c r="L113" s="248"/>
      <c r="M113" s="325"/>
    </row>
    <row r="114" spans="1:13" s="65" customFormat="1" ht="15">
      <c r="A114" s="248"/>
      <c r="B114" s="323"/>
      <c r="C114" s="320">
        <v>2024</v>
      </c>
      <c r="D114" s="315">
        <f aca="true" t="shared" si="24" ref="D114:D115">H114+I114</f>
        <v>0</v>
      </c>
      <c r="E114" s="315">
        <v>0</v>
      </c>
      <c r="F114" s="315"/>
      <c r="G114" s="315"/>
      <c r="H114" s="315">
        <v>0</v>
      </c>
      <c r="I114" s="315">
        <f aca="true" t="shared" si="25" ref="I114:I115">I33+I43</f>
        <v>0</v>
      </c>
      <c r="J114" s="248"/>
      <c r="K114" s="248"/>
      <c r="L114" s="248"/>
      <c r="M114" s="325"/>
    </row>
    <row r="115" spans="1:13" s="65" customFormat="1" ht="15">
      <c r="A115" s="248"/>
      <c r="B115" s="323"/>
      <c r="C115" s="320">
        <v>2025</v>
      </c>
      <c r="D115" s="315">
        <f t="shared" si="24"/>
        <v>0</v>
      </c>
      <c r="E115" s="315">
        <v>0</v>
      </c>
      <c r="F115" s="315"/>
      <c r="G115" s="315"/>
      <c r="H115" s="315">
        <v>0</v>
      </c>
      <c r="I115" s="315">
        <f t="shared" si="25"/>
        <v>0</v>
      </c>
      <c r="J115" s="248"/>
      <c r="K115" s="248"/>
      <c r="L115" s="248"/>
      <c r="M115" s="325"/>
    </row>
    <row r="116" spans="1:13" s="65" customFormat="1" ht="15">
      <c r="A116" s="248"/>
      <c r="B116" s="323"/>
      <c r="C116" s="323" t="s">
        <v>298</v>
      </c>
      <c r="D116" s="328">
        <f>SUM(D107:D115)</f>
        <v>52.25600000000001</v>
      </c>
      <c r="E116" s="328">
        <f>SUM(E107:E115)</f>
        <v>0</v>
      </c>
      <c r="F116" s="328"/>
      <c r="G116" s="328"/>
      <c r="H116" s="328">
        <f>SUM(H107:H115)</f>
        <v>0</v>
      </c>
      <c r="I116" s="328">
        <f>SUM(I107:I115)</f>
        <v>52.25600000000001</v>
      </c>
      <c r="J116" s="248"/>
      <c r="K116" s="248"/>
      <c r="L116" s="248"/>
      <c r="M116" s="325"/>
    </row>
    <row r="117" s="65" customFormat="1" ht="14.25"/>
    <row r="118" s="65" customFormat="1" ht="14.25"/>
    <row r="119" s="65" customFormat="1" ht="14.25"/>
    <row r="120" s="65" customFormat="1" ht="14.25"/>
    <row r="121" s="65" customFormat="1" ht="14.25"/>
    <row r="122" s="65" customFormat="1" ht="14.25"/>
    <row r="123" s="65" customFormat="1" ht="14.25"/>
    <row r="124" s="65" customFormat="1" ht="14.25"/>
    <row r="125" s="65" customFormat="1" ht="14.25"/>
    <row r="126" s="65" customFormat="1" ht="14.25"/>
    <row r="127" s="65" customFormat="1" ht="14.25"/>
    <row r="128" s="65" customFormat="1" ht="14.25"/>
    <row r="129" s="65" customFormat="1" ht="14.25"/>
    <row r="130" s="65" customFormat="1" ht="14.25"/>
    <row r="131" s="65" customFormat="1" ht="14.25"/>
    <row r="132" s="65" customFormat="1" ht="14.25"/>
    <row r="133" s="65" customFormat="1" ht="14.25"/>
    <row r="134" s="65" customFormat="1" ht="14.25"/>
    <row r="135" s="65" customFormat="1" ht="14.25"/>
    <row r="136" s="65" customFormat="1" ht="14.25"/>
    <row r="137" s="65" customFormat="1" ht="14.25"/>
    <row r="138" s="65" customFormat="1" ht="14.25"/>
    <row r="139" s="65" customFormat="1" ht="14.25"/>
    <row r="140" s="65" customFormat="1" ht="14.25"/>
    <row r="141" s="65" customFormat="1" ht="14.25"/>
    <row r="142" s="65" customFormat="1" ht="14.25"/>
    <row r="143" s="65" customFormat="1" ht="14.25"/>
    <row r="144" s="65" customFormat="1" ht="14.25"/>
    <row r="145" s="65" customFormat="1" ht="14.25"/>
    <row r="146" s="65" customFormat="1" ht="14.25"/>
    <row r="147" s="65" customFormat="1" ht="14.25"/>
    <row r="148" s="65" customFormat="1" ht="14.25"/>
    <row r="149" s="65" customFormat="1" ht="14.25"/>
    <row r="150" s="65" customFormat="1" ht="14.25"/>
    <row r="151" s="65" customFormat="1" ht="14.25"/>
    <row r="152" s="65" customFormat="1" ht="14.25"/>
    <row r="153" s="65" customFormat="1" ht="14.25"/>
    <row r="154" s="65" customFormat="1" ht="14.25"/>
    <row r="155" s="65" customFormat="1" ht="14.25"/>
    <row r="156" s="65" customFormat="1" ht="14.25"/>
    <row r="157" s="65" customFormat="1" ht="14.25"/>
    <row r="158" s="65" customFormat="1" ht="14.25"/>
    <row r="159" s="65" customFormat="1" ht="14.25"/>
    <row r="160" s="65" customFormat="1" ht="14.25"/>
    <row r="161" s="65" customFormat="1" ht="14.25"/>
    <row r="162" s="65" customFormat="1" ht="14.25"/>
    <row r="163" s="65" customFormat="1" ht="14.25"/>
    <row r="164" s="65" customFormat="1" ht="14.25"/>
    <row r="165" s="65" customFormat="1" ht="14.25"/>
    <row r="166" s="65" customFormat="1" ht="14.25"/>
    <row r="167" s="65" customFormat="1" ht="14.25"/>
    <row r="168" s="65" customFormat="1" ht="14.25"/>
    <row r="169" s="65" customFormat="1" ht="14.25"/>
    <row r="170" s="65" customFormat="1" ht="14.25"/>
    <row r="171" s="65" customFormat="1" ht="14.25"/>
    <row r="172" s="65" customFormat="1" ht="14.25"/>
    <row r="173" s="65" customFormat="1" ht="14.25"/>
    <row r="174" s="65" customFormat="1" ht="14.25"/>
    <row r="175" s="65" customFormat="1" ht="14.25"/>
    <row r="176" s="65" customFormat="1" ht="14.25"/>
    <row r="177" s="65" customFormat="1" ht="14.25"/>
    <row r="178" s="65" customFormat="1" ht="14.25"/>
    <row r="179" s="65" customFormat="1" ht="14.25"/>
    <row r="180" s="65" customFormat="1" ht="14.25"/>
    <row r="181" s="65" customFormat="1" ht="14.25"/>
    <row r="182" s="65" customFormat="1" ht="14.25"/>
    <row r="183" s="65" customFormat="1" ht="14.25"/>
    <row r="184" s="65" customFormat="1" ht="14.25"/>
    <row r="185" s="65" customFormat="1" ht="14.25"/>
    <row r="186" s="65" customFormat="1" ht="14.25"/>
    <row r="187" s="65" customFormat="1" ht="14.25"/>
    <row r="188" s="65" customFormat="1" ht="14.25"/>
    <row r="189" s="65" customFormat="1" ht="14.25"/>
    <row r="190" s="65" customFormat="1" ht="14.25"/>
    <row r="191" s="65" customFormat="1" ht="14.25"/>
    <row r="192" s="65" customFormat="1" ht="14.25"/>
    <row r="193" s="65" customFormat="1" ht="14.25"/>
    <row r="194" s="65" customFormat="1" ht="14.25"/>
    <row r="195" s="65" customFormat="1" ht="14.25"/>
    <row r="196" s="65" customFormat="1" ht="14.25"/>
    <row r="197" s="65" customFormat="1" ht="14.25"/>
    <row r="198" s="65" customFormat="1" ht="14.25"/>
    <row r="199" s="65" customFormat="1" ht="14.25"/>
    <row r="200" s="65" customFormat="1" ht="14.25"/>
    <row r="201" s="65" customFormat="1" ht="14.25"/>
    <row r="202" s="65" customFormat="1" ht="14.25"/>
    <row r="203" s="65" customFormat="1" ht="14.25"/>
    <row r="204" s="65" customFormat="1" ht="14.25"/>
    <row r="205" s="65" customFormat="1" ht="14.25"/>
    <row r="206" s="65" customFormat="1" ht="14.25"/>
    <row r="207" s="65" customFormat="1" ht="14.25"/>
    <row r="208" s="65" customFormat="1" ht="14.25"/>
    <row r="209" spans="1:15" ht="14.2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</row>
    <row r="210" spans="1:15" ht="14.2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</row>
    <row r="211" spans="1:15" ht="14.2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</row>
    <row r="212" spans="1:15" ht="14.2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</row>
    <row r="213" spans="1:15" ht="14.2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</row>
    <row r="214" spans="1:15" ht="14.2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</row>
    <row r="215" spans="1:15" ht="14.2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</row>
    <row r="216" spans="1:15" ht="14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</row>
    <row r="217" spans="1:15" ht="14.2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</row>
    <row r="218" spans="1:15" ht="14.2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</row>
    <row r="219" spans="1:15" ht="14.2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</row>
    <row r="220" spans="1:15" ht="14.2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</row>
    <row r="221" spans="1:15" ht="14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</row>
    <row r="222" spans="1:15" ht="14.2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</row>
    <row r="223" spans="1:15" ht="14.2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</row>
    <row r="224" spans="1:15" ht="14.2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</row>
    <row r="225" spans="1:15" ht="14.2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</row>
    <row r="226" spans="1:15" ht="14.25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</row>
    <row r="227" spans="1:15" ht="14.25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</row>
    <row r="228" spans="1:15" ht="14.25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</row>
    <row r="229" spans="1:15" ht="14.25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</row>
    <row r="230" spans="1:15" ht="14.25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</row>
    <row r="231" spans="1:15" ht="14.25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</row>
    <row r="232" spans="1:15" ht="14.25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</row>
    <row r="233" spans="1:15" ht="14.25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</row>
    <row r="234" spans="1:15" ht="14.25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</row>
    <row r="235" spans="1:15" ht="14.25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</row>
    <row r="236" spans="1:15" ht="14.25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</row>
    <row r="237" spans="1:15" ht="14.25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</row>
    <row r="238" spans="1:15" ht="14.25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</row>
    <row r="239" spans="1:15" ht="14.25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</row>
    <row r="240" spans="1:15" ht="14.25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</row>
    <row r="241" spans="1:15" ht="14.25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</row>
    <row r="242" spans="1:15" ht="14.25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</row>
    <row r="243" spans="1:15" ht="14.25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</row>
    <row r="244" spans="1:15" ht="14.25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</row>
    <row r="245" spans="1:15" ht="14.25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</row>
    <row r="246" spans="1:15" ht="14.25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</row>
    <row r="247" spans="1:15" ht="14.25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</row>
    <row r="248" spans="1:15" ht="14.25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</row>
    <row r="249" spans="1:15" ht="14.25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</row>
    <row r="250" spans="1:15" ht="14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</row>
    <row r="251" spans="1:15" ht="14.25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</row>
    <row r="252" spans="1:15" ht="14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</row>
    <row r="253" spans="1:15" ht="14.25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</row>
    <row r="254" spans="1:15" ht="14.25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</row>
    <row r="255" spans="1:15" ht="14.25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</row>
    <row r="256" spans="1:15" ht="14.25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</row>
    <row r="257" spans="1:15" ht="14.25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</row>
    <row r="258" spans="1:15" ht="14.25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</row>
    <row r="259" spans="1:15" ht="14.25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</row>
    <row r="260" spans="1:15" ht="14.25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</row>
    <row r="261" spans="1:15" ht="14.25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</row>
    <row r="262" spans="1:15" ht="14.25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</row>
    <row r="263" spans="1:15" ht="14.25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</row>
    <row r="264" spans="1:15" ht="14.25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</row>
    <row r="265" spans="1:15" ht="14.25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</row>
    <row r="266" spans="1:15" ht="14.25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</row>
    <row r="267" spans="1:15" ht="14.25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</row>
    <row r="268" spans="1:15" ht="14.25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</row>
    <row r="269" spans="1:15" ht="14.25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</row>
    <row r="270" spans="1:15" ht="14.25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</row>
    <row r="271" spans="1:15" ht="14.25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</row>
    <row r="272" spans="1:15" ht="14.25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</row>
    <row r="273" spans="1:15" ht="14.25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</row>
    <row r="274" spans="1:15" ht="14.25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</row>
    <row r="275" spans="1:15" ht="14.25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</row>
    <row r="276" spans="1:15" ht="14.25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</row>
    <row r="277" spans="1:15" ht="14.25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</row>
    <row r="278" spans="1:15" ht="14.25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</row>
    <row r="279" spans="1:15" ht="14.25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</row>
    <row r="280" spans="1:15" ht="14.25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</row>
    <row r="281" spans="1:15" ht="14.25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</row>
    <row r="282" spans="1:15" ht="14.25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</row>
    <row r="283" spans="1:15" ht="14.25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</row>
    <row r="284" spans="1:15" ht="14.25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</row>
    <row r="285" spans="1:15" ht="14.25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</row>
    <row r="286" spans="1:15" ht="14.25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</row>
    <row r="287" spans="1:15" ht="14.25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</row>
    <row r="288" spans="1:15" ht="14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</row>
    <row r="289" spans="1:15" ht="14.25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</row>
    <row r="290" spans="1:15" ht="14.25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</row>
    <row r="291" spans="1:15" ht="14.25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</row>
    <row r="292" spans="1:15" ht="14.25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</row>
    <row r="293" spans="1:15" ht="14.25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</row>
    <row r="294" spans="1:15" ht="14.25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</row>
    <row r="295" spans="1:15" ht="14.25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</row>
    <row r="296" spans="1:15" ht="14.25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</row>
    <row r="297" spans="1:13" ht="14.25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</row>
    <row r="298" spans="1:13" ht="14.25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</row>
    <row r="299" spans="1:13" ht="14.25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</row>
    <row r="300" spans="1:13" ht="14.25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</row>
    <row r="301" spans="1:13" ht="14.25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</row>
    <row r="302" spans="1:13" ht="14.25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</row>
    <row r="303" spans="1:13" ht="14.25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</row>
    <row r="304" spans="1:13" ht="14.25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</row>
    <row r="305" spans="1:13" ht="14.25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</row>
    <row r="306" spans="1:13" ht="14.25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</row>
    <row r="307" spans="1:13" ht="14.25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</row>
    <row r="308" spans="1:13" ht="14.25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</row>
    <row r="309" spans="1:13" ht="14.25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</row>
    <row r="310" spans="1:13" ht="14.25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</row>
    <row r="311" spans="1:13" ht="14.25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</row>
    <row r="312" spans="1:13" ht="14.25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</row>
    <row r="313" spans="1:13" ht="14.25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</row>
    <row r="314" spans="1:13" ht="14.25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</row>
    <row r="315" spans="1:13" ht="14.25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</row>
  </sheetData>
  <sheetProtection selectLockedCells="1" selectUnlockedCells="1"/>
  <mergeCells count="64">
    <mergeCell ref="B2:M2"/>
    <mergeCell ref="K3:M3"/>
    <mergeCell ref="K4:M4"/>
    <mergeCell ref="L5:M5"/>
    <mergeCell ref="A8:M8"/>
    <mergeCell ref="A9:A14"/>
    <mergeCell ref="B9:B14"/>
    <mergeCell ref="C9:C14"/>
    <mergeCell ref="D9:D14"/>
    <mergeCell ref="E9:I10"/>
    <mergeCell ref="J9:J14"/>
    <mergeCell ref="K9:L14"/>
    <mergeCell ref="M9:M14"/>
    <mergeCell ref="E11:E14"/>
    <mergeCell ref="F11:I11"/>
    <mergeCell ref="F12:H12"/>
    <mergeCell ref="I12:I14"/>
    <mergeCell ref="F13:F14"/>
    <mergeCell ref="G13:H13"/>
    <mergeCell ref="K15:L15"/>
    <mergeCell ref="A16:M16"/>
    <mergeCell ref="A17:M17"/>
    <mergeCell ref="A18:A24"/>
    <mergeCell ref="B18:B24"/>
    <mergeCell ref="K18:L24"/>
    <mergeCell ref="M18:M24"/>
    <mergeCell ref="A25:M25"/>
    <mergeCell ref="A26:A34"/>
    <mergeCell ref="B26:B34"/>
    <mergeCell ref="K26:L34"/>
    <mergeCell ref="M26:M34"/>
    <mergeCell ref="A35:M35"/>
    <mergeCell ref="A36:A44"/>
    <mergeCell ref="B36:B44"/>
    <mergeCell ref="K36:L44"/>
    <mergeCell ref="M36:M103"/>
    <mergeCell ref="A45:A53"/>
    <mergeCell ref="B45:B53"/>
    <mergeCell ref="K45:L53"/>
    <mergeCell ref="A54:A62"/>
    <mergeCell ref="B54:B62"/>
    <mergeCell ref="K54:L62"/>
    <mergeCell ref="A63:A71"/>
    <mergeCell ref="B63:B71"/>
    <mergeCell ref="K63:L71"/>
    <mergeCell ref="A72:A78"/>
    <mergeCell ref="B72:B78"/>
    <mergeCell ref="K72:L78"/>
    <mergeCell ref="A79:A85"/>
    <mergeCell ref="B79:B85"/>
    <mergeCell ref="K79:L85"/>
    <mergeCell ref="A86:A92"/>
    <mergeCell ref="B86:B92"/>
    <mergeCell ref="K86:L92"/>
    <mergeCell ref="A93:A99"/>
    <mergeCell ref="B93:B99"/>
    <mergeCell ref="K93:L99"/>
    <mergeCell ref="A100:A106"/>
    <mergeCell ref="B100:B106"/>
    <mergeCell ref="K100:L107"/>
    <mergeCell ref="A107:A116"/>
    <mergeCell ref="B107:B116"/>
    <mergeCell ref="K108:L116"/>
    <mergeCell ref="M108:M11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  <rowBreaks count="1" manualBreakCount="1">
    <brk id="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view="pageBreakPreview" zoomScale="70" zoomScaleNormal="70" zoomScaleSheetLayoutView="70" workbookViewId="0" topLeftCell="A15">
      <selection activeCell="D60" sqref="D60"/>
    </sheetView>
  </sheetViews>
  <sheetFormatPr defaultColWidth="9.140625" defaultRowHeight="15"/>
  <cols>
    <col min="1" max="1" width="7.7109375" style="0" customWidth="1"/>
    <col min="2" max="2" width="66.8515625" style="0" customWidth="1"/>
    <col min="3" max="3" width="13.00390625" style="0" customWidth="1"/>
    <col min="4" max="4" width="14.140625" style="0" customWidth="1"/>
    <col min="5" max="5" width="7.140625" style="0" customWidth="1"/>
    <col min="6" max="6" width="12.7109375" style="0" customWidth="1"/>
    <col min="7" max="7" width="9.140625" style="0" customWidth="1"/>
    <col min="8" max="8" width="12.140625" style="0" customWidth="1"/>
    <col min="9" max="9" width="14.140625" style="0" customWidth="1"/>
    <col min="10" max="10" width="7.57421875" style="0" customWidth="1"/>
    <col min="11" max="11" width="19.00390625" style="0" customWidth="1"/>
    <col min="12" max="12" width="44.140625" style="0" customWidth="1"/>
    <col min="14" max="14" width="48.28125" style="0" customWidth="1"/>
  </cols>
  <sheetData>
    <row r="1" spans="1:14" s="65" customFormat="1" ht="14.25">
      <c r="A1" s="329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</row>
    <row r="2" spans="1:12" s="65" customFormat="1" ht="1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2" s="65" customFormat="1" ht="16.5" customHeight="1">
      <c r="A3" s="306"/>
      <c r="B3" s="306"/>
      <c r="C3" s="306"/>
      <c r="D3" s="306"/>
      <c r="E3" s="306"/>
      <c r="F3" s="306"/>
      <c r="G3" s="306"/>
      <c r="H3" s="306"/>
      <c r="I3" s="306"/>
      <c r="J3" s="330" t="s">
        <v>343</v>
      </c>
      <c r="K3" s="330"/>
      <c r="L3" s="330"/>
    </row>
    <row r="4" spans="1:12" s="65" customFormat="1" ht="32.25" customHeight="1">
      <c r="A4" s="306"/>
      <c r="B4" s="306"/>
      <c r="C4" s="306"/>
      <c r="D4" s="306"/>
      <c r="E4" s="306"/>
      <c r="F4" s="306"/>
      <c r="G4" s="306"/>
      <c r="H4" s="306"/>
      <c r="I4" s="306"/>
      <c r="J4" s="307"/>
      <c r="K4" s="331" t="s">
        <v>385</v>
      </c>
      <c r="L4" s="331"/>
    </row>
    <row r="5" spans="1:12" s="65" customFormat="1" ht="32.25" customHeight="1">
      <c r="A5" s="306"/>
      <c r="B5" s="306"/>
      <c r="C5" s="306"/>
      <c r="D5" s="306"/>
      <c r="E5" s="306"/>
      <c r="F5" s="306"/>
      <c r="G5" s="306"/>
      <c r="H5" s="306"/>
      <c r="I5" s="306"/>
      <c r="J5" s="307"/>
      <c r="K5" s="307"/>
      <c r="L5" s="307"/>
    </row>
    <row r="6" spans="1:14" s="65" customFormat="1" ht="15" customHeight="1">
      <c r="A6" s="332" t="s">
        <v>386</v>
      </c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="65" customFormat="1" ht="31.5" customHeight="1"/>
    <row r="8" spans="1:12" s="65" customFormat="1" ht="15.75" customHeight="1">
      <c r="A8" s="333" t="s">
        <v>4</v>
      </c>
      <c r="B8" s="334" t="s">
        <v>347</v>
      </c>
      <c r="C8" s="335" t="s">
        <v>6</v>
      </c>
      <c r="D8" s="334" t="s">
        <v>387</v>
      </c>
      <c r="E8" s="336" t="s">
        <v>303</v>
      </c>
      <c r="F8" s="336"/>
      <c r="G8" s="336"/>
      <c r="H8" s="336"/>
      <c r="I8" s="336"/>
      <c r="J8" s="334" t="s">
        <v>42</v>
      </c>
      <c r="K8" s="334" t="s">
        <v>388</v>
      </c>
      <c r="L8" s="334" t="s">
        <v>389</v>
      </c>
    </row>
    <row r="9" spans="1:12" s="65" customFormat="1" ht="15.75" customHeight="1">
      <c r="A9" s="333"/>
      <c r="B9" s="334"/>
      <c r="C9" s="335"/>
      <c r="D9" s="334"/>
      <c r="E9" s="337" t="s">
        <v>45</v>
      </c>
      <c r="F9" s="337" t="s">
        <v>390</v>
      </c>
      <c r="G9" s="337"/>
      <c r="H9" s="337"/>
      <c r="I9" s="338" t="s">
        <v>47</v>
      </c>
      <c r="J9" s="334"/>
      <c r="K9" s="334"/>
      <c r="L9" s="334"/>
    </row>
    <row r="10" spans="1:12" s="65" customFormat="1" ht="15.75" customHeight="1">
      <c r="A10" s="333"/>
      <c r="B10" s="334"/>
      <c r="C10" s="335"/>
      <c r="D10" s="334"/>
      <c r="E10" s="337"/>
      <c r="F10" s="339" t="s">
        <v>352</v>
      </c>
      <c r="G10" s="339"/>
      <c r="H10" s="339"/>
      <c r="I10" s="338"/>
      <c r="J10" s="334"/>
      <c r="K10" s="334"/>
      <c r="L10" s="334"/>
    </row>
    <row r="11" spans="1:12" s="65" customFormat="1" ht="15.75" customHeight="1">
      <c r="A11" s="333"/>
      <c r="B11" s="334"/>
      <c r="C11" s="335"/>
      <c r="D11" s="334"/>
      <c r="E11" s="337"/>
      <c r="F11" s="337" t="s">
        <v>15</v>
      </c>
      <c r="G11" s="337" t="s">
        <v>16</v>
      </c>
      <c r="H11" s="337"/>
      <c r="I11" s="338"/>
      <c r="J11" s="334"/>
      <c r="K11" s="334"/>
      <c r="L11" s="334"/>
    </row>
    <row r="12" spans="1:12" s="65" customFormat="1" ht="84" customHeight="1">
      <c r="A12" s="333"/>
      <c r="B12" s="334"/>
      <c r="C12" s="335"/>
      <c r="D12" s="334"/>
      <c r="E12" s="337"/>
      <c r="F12" s="337"/>
      <c r="G12" s="337" t="s">
        <v>17</v>
      </c>
      <c r="H12" s="337" t="s">
        <v>18</v>
      </c>
      <c r="I12" s="338"/>
      <c r="J12" s="334"/>
      <c r="K12" s="334"/>
      <c r="L12" s="334"/>
    </row>
    <row r="13" spans="1:12" s="65" customFormat="1" ht="15.75">
      <c r="A13" s="340">
        <v>1</v>
      </c>
      <c r="B13" s="341">
        <v>2</v>
      </c>
      <c r="C13" s="341">
        <v>3</v>
      </c>
      <c r="D13" s="341">
        <v>4</v>
      </c>
      <c r="E13" s="341">
        <v>5</v>
      </c>
      <c r="F13" s="341">
        <v>6</v>
      </c>
      <c r="G13" s="341">
        <v>7</v>
      </c>
      <c r="H13" s="341">
        <v>8</v>
      </c>
      <c r="I13" s="341">
        <v>9</v>
      </c>
      <c r="J13" s="341">
        <v>10</v>
      </c>
      <c r="K13" s="341">
        <v>11</v>
      </c>
      <c r="L13" s="341">
        <v>12</v>
      </c>
    </row>
    <row r="14" spans="1:12" s="65" customFormat="1" ht="37.5" customHeight="1">
      <c r="A14" s="334" t="s">
        <v>391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</row>
    <row r="15" spans="1:12" s="65" customFormat="1" ht="72" customHeight="1">
      <c r="A15" s="342" t="s">
        <v>392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</row>
    <row r="16" spans="1:12" s="65" customFormat="1" ht="143.25" customHeight="1">
      <c r="A16" s="343" t="s">
        <v>393</v>
      </c>
      <c r="B16" s="343"/>
      <c r="C16" s="343"/>
      <c r="D16" s="343"/>
      <c r="E16" s="343"/>
      <c r="F16" s="343"/>
      <c r="G16" s="343"/>
      <c r="H16" s="343"/>
      <c r="I16" s="343"/>
      <c r="J16" s="343"/>
      <c r="K16" s="343"/>
      <c r="L16" s="343"/>
    </row>
    <row r="17" spans="1:12" s="65" customFormat="1" ht="28.5" customHeight="1">
      <c r="A17" s="344" t="s">
        <v>24</v>
      </c>
      <c r="B17" s="337" t="s">
        <v>394</v>
      </c>
      <c r="C17" s="337">
        <v>2020</v>
      </c>
      <c r="D17" s="345">
        <f aca="true" t="shared" si="0" ref="D17:D19">I17</f>
        <v>6.14</v>
      </c>
      <c r="E17" s="346"/>
      <c r="F17" s="346"/>
      <c r="G17" s="346"/>
      <c r="H17" s="346"/>
      <c r="I17" s="345">
        <v>6.14</v>
      </c>
      <c r="J17" s="339"/>
      <c r="K17" s="337" t="s">
        <v>395</v>
      </c>
      <c r="L17" s="347" t="s">
        <v>396</v>
      </c>
    </row>
    <row r="18" spans="1:12" s="65" customFormat="1" ht="15.75" customHeight="1">
      <c r="A18" s="344"/>
      <c r="B18" s="337"/>
      <c r="C18" s="337">
        <v>2021</v>
      </c>
      <c r="D18" s="345">
        <f t="shared" si="0"/>
        <v>104</v>
      </c>
      <c r="E18" s="346"/>
      <c r="F18" s="346"/>
      <c r="G18" s="346"/>
      <c r="H18" s="346"/>
      <c r="I18" s="345">
        <f>50+54</f>
        <v>104</v>
      </c>
      <c r="J18" s="339"/>
      <c r="K18" s="337"/>
      <c r="L18" s="347"/>
    </row>
    <row r="19" spans="1:12" s="65" customFormat="1" ht="21" customHeight="1">
      <c r="A19" s="344"/>
      <c r="B19" s="337"/>
      <c r="C19" s="348">
        <v>2022</v>
      </c>
      <c r="D19" s="345">
        <f t="shared" si="0"/>
        <v>1837.98478</v>
      </c>
      <c r="E19" s="58"/>
      <c r="F19" s="58"/>
      <c r="G19" s="58"/>
      <c r="H19" s="58"/>
      <c r="I19" s="345">
        <f>50+1787.98478</f>
        <v>1837.98478</v>
      </c>
      <c r="J19" s="349"/>
      <c r="K19" s="337"/>
      <c r="L19" s="347"/>
    </row>
    <row r="20" spans="1:12" s="65" customFormat="1" ht="21" customHeight="1">
      <c r="A20" s="344"/>
      <c r="B20" s="337"/>
      <c r="C20" s="350">
        <v>2023</v>
      </c>
      <c r="D20" s="351">
        <f>F20+I20</f>
        <v>676.34895</v>
      </c>
      <c r="E20" s="352"/>
      <c r="F20" s="352">
        <f>G20+H20</f>
        <v>612.00692</v>
      </c>
      <c r="G20" s="352"/>
      <c r="H20" s="352">
        <f>612.00692</f>
        <v>612.00692</v>
      </c>
      <c r="I20" s="351">
        <f>418.67+16.49955+151.94448+50+55.77786-612.00692-16.54294</f>
        <v>64.34202999999995</v>
      </c>
      <c r="J20" s="349"/>
      <c r="K20" s="337"/>
      <c r="L20" s="347"/>
    </row>
    <row r="21" spans="1:12" s="65" customFormat="1" ht="21" customHeight="1">
      <c r="A21" s="344"/>
      <c r="B21" s="337"/>
      <c r="C21" s="348">
        <v>2024</v>
      </c>
      <c r="D21" s="345">
        <f aca="true" t="shared" si="1" ref="D21:D55">I21</f>
        <v>0</v>
      </c>
      <c r="E21" s="58"/>
      <c r="F21" s="58"/>
      <c r="G21" s="58"/>
      <c r="H21" s="58"/>
      <c r="I21" s="345">
        <v>0</v>
      </c>
      <c r="J21" s="349"/>
      <c r="K21" s="337"/>
      <c r="L21" s="347"/>
    </row>
    <row r="22" spans="1:12" s="65" customFormat="1" ht="21" customHeight="1">
      <c r="A22" s="344"/>
      <c r="B22" s="337"/>
      <c r="C22" s="348">
        <v>2025</v>
      </c>
      <c r="D22" s="345">
        <f t="shared" si="1"/>
        <v>0</v>
      </c>
      <c r="E22" s="58"/>
      <c r="F22" s="58"/>
      <c r="G22" s="58"/>
      <c r="H22" s="58"/>
      <c r="I22" s="345">
        <v>0</v>
      </c>
      <c r="J22" s="349"/>
      <c r="K22" s="337"/>
      <c r="L22" s="347"/>
    </row>
    <row r="23" spans="1:12" s="65" customFormat="1" ht="21" customHeight="1">
      <c r="A23" s="353" t="s">
        <v>27</v>
      </c>
      <c r="B23" s="337" t="s">
        <v>397</v>
      </c>
      <c r="C23" s="337">
        <v>2020</v>
      </c>
      <c r="D23" s="345">
        <f t="shared" si="1"/>
        <v>0</v>
      </c>
      <c r="E23" s="58"/>
      <c r="F23" s="58"/>
      <c r="G23" s="58"/>
      <c r="H23" s="58"/>
      <c r="I23" s="345">
        <v>0</v>
      </c>
      <c r="J23" s="349"/>
      <c r="K23" s="349"/>
      <c r="L23" s="347"/>
    </row>
    <row r="24" spans="1:12" s="65" customFormat="1" ht="19.5" customHeight="1">
      <c r="A24" s="353"/>
      <c r="B24" s="337"/>
      <c r="C24" s="337">
        <v>2021</v>
      </c>
      <c r="D24" s="345">
        <f t="shared" si="1"/>
        <v>0</v>
      </c>
      <c r="E24" s="58"/>
      <c r="F24" s="58"/>
      <c r="G24" s="58"/>
      <c r="H24" s="58"/>
      <c r="I24" s="345">
        <v>0</v>
      </c>
      <c r="J24" s="349"/>
      <c r="K24" s="349"/>
      <c r="L24" s="347"/>
    </row>
    <row r="25" spans="1:12" s="65" customFormat="1" ht="21" customHeight="1">
      <c r="A25" s="353"/>
      <c r="B25" s="337"/>
      <c r="C25" s="348">
        <v>2022</v>
      </c>
      <c r="D25" s="345">
        <f t="shared" si="1"/>
        <v>0</v>
      </c>
      <c r="E25" s="58"/>
      <c r="F25" s="58"/>
      <c r="G25" s="58"/>
      <c r="H25" s="58"/>
      <c r="I25" s="345">
        <v>0</v>
      </c>
      <c r="J25" s="349"/>
      <c r="K25" s="349"/>
      <c r="L25" s="347"/>
    </row>
    <row r="26" spans="1:12" s="65" customFormat="1" ht="21" customHeight="1">
      <c r="A26" s="353"/>
      <c r="B26" s="337"/>
      <c r="C26" s="348">
        <v>2023</v>
      </c>
      <c r="D26" s="345">
        <f t="shared" si="1"/>
        <v>0</v>
      </c>
      <c r="E26" s="58"/>
      <c r="F26" s="58"/>
      <c r="G26" s="58"/>
      <c r="H26" s="58"/>
      <c r="I26" s="345">
        <v>0</v>
      </c>
      <c r="J26" s="349"/>
      <c r="K26" s="349"/>
      <c r="L26" s="347"/>
    </row>
    <row r="27" spans="1:12" s="65" customFormat="1" ht="21" customHeight="1">
      <c r="A27" s="353"/>
      <c r="B27" s="337"/>
      <c r="C27" s="348">
        <v>2024</v>
      </c>
      <c r="D27" s="345">
        <f t="shared" si="1"/>
        <v>0</v>
      </c>
      <c r="E27" s="58"/>
      <c r="F27" s="58"/>
      <c r="G27" s="58"/>
      <c r="H27" s="58"/>
      <c r="I27" s="345">
        <v>0</v>
      </c>
      <c r="J27" s="349"/>
      <c r="K27" s="349"/>
      <c r="L27" s="347"/>
    </row>
    <row r="28" spans="1:12" s="65" customFormat="1" ht="21" customHeight="1">
      <c r="A28" s="353"/>
      <c r="B28" s="337"/>
      <c r="C28" s="348">
        <v>2025</v>
      </c>
      <c r="D28" s="345">
        <f t="shared" si="1"/>
        <v>0</v>
      </c>
      <c r="E28" s="58"/>
      <c r="F28" s="58"/>
      <c r="G28" s="58"/>
      <c r="H28" s="58"/>
      <c r="I28" s="345">
        <v>0</v>
      </c>
      <c r="J28" s="349"/>
      <c r="K28" s="349"/>
      <c r="L28" s="347"/>
    </row>
    <row r="29" spans="1:12" s="65" customFormat="1" ht="21" customHeight="1">
      <c r="A29" s="353" t="s">
        <v>30</v>
      </c>
      <c r="B29" s="313" t="s">
        <v>398</v>
      </c>
      <c r="C29" s="337">
        <v>2020</v>
      </c>
      <c r="D29" s="345">
        <f t="shared" si="1"/>
        <v>0</v>
      </c>
      <c r="E29" s="58"/>
      <c r="F29" s="58"/>
      <c r="G29" s="58"/>
      <c r="H29" s="58"/>
      <c r="I29" s="345">
        <v>0</v>
      </c>
      <c r="J29" s="349"/>
      <c r="K29" s="349"/>
      <c r="L29" s="347"/>
    </row>
    <row r="30" spans="1:12" s="65" customFormat="1" ht="19.5" customHeight="1">
      <c r="A30" s="353"/>
      <c r="B30" s="313"/>
      <c r="C30" s="337">
        <v>2021</v>
      </c>
      <c r="D30" s="345">
        <f t="shared" si="1"/>
        <v>0</v>
      </c>
      <c r="E30" s="58"/>
      <c r="F30" s="58"/>
      <c r="G30" s="58"/>
      <c r="H30" s="58"/>
      <c r="I30" s="345">
        <v>0</v>
      </c>
      <c r="J30" s="349"/>
      <c r="K30" s="349"/>
      <c r="L30" s="347"/>
    </row>
    <row r="31" spans="1:12" s="65" customFormat="1" ht="24" customHeight="1">
      <c r="A31" s="353"/>
      <c r="B31" s="313"/>
      <c r="C31" s="348">
        <v>2022</v>
      </c>
      <c r="D31" s="345">
        <f t="shared" si="1"/>
        <v>0</v>
      </c>
      <c r="E31" s="58"/>
      <c r="F31" s="58"/>
      <c r="G31" s="58"/>
      <c r="H31" s="58"/>
      <c r="I31" s="345">
        <v>0</v>
      </c>
      <c r="J31" s="349"/>
      <c r="K31" s="349"/>
      <c r="L31" s="347"/>
    </row>
    <row r="32" spans="1:12" s="65" customFormat="1" ht="24" customHeight="1">
      <c r="A32" s="353"/>
      <c r="B32" s="313"/>
      <c r="C32" s="348">
        <v>2023</v>
      </c>
      <c r="D32" s="345">
        <f t="shared" si="1"/>
        <v>0</v>
      </c>
      <c r="E32" s="58"/>
      <c r="F32" s="58"/>
      <c r="G32" s="58"/>
      <c r="H32" s="58"/>
      <c r="I32" s="345">
        <v>0</v>
      </c>
      <c r="J32" s="349"/>
      <c r="K32" s="349"/>
      <c r="L32" s="347"/>
    </row>
    <row r="33" spans="1:12" s="65" customFormat="1" ht="24" customHeight="1">
      <c r="A33" s="353"/>
      <c r="B33" s="313"/>
      <c r="C33" s="348">
        <v>2024</v>
      </c>
      <c r="D33" s="345">
        <f t="shared" si="1"/>
        <v>0</v>
      </c>
      <c r="E33" s="58"/>
      <c r="F33" s="58"/>
      <c r="G33" s="58"/>
      <c r="H33" s="58"/>
      <c r="I33" s="345">
        <v>0</v>
      </c>
      <c r="J33" s="349"/>
      <c r="K33" s="349"/>
      <c r="L33" s="347"/>
    </row>
    <row r="34" spans="1:12" s="65" customFormat="1" ht="24" customHeight="1">
      <c r="A34" s="353"/>
      <c r="B34" s="313"/>
      <c r="C34" s="348">
        <v>2025</v>
      </c>
      <c r="D34" s="345">
        <f t="shared" si="1"/>
        <v>0</v>
      </c>
      <c r="E34" s="58"/>
      <c r="F34" s="58"/>
      <c r="G34" s="58"/>
      <c r="H34" s="58"/>
      <c r="I34" s="345">
        <v>0</v>
      </c>
      <c r="J34" s="349"/>
      <c r="K34" s="349"/>
      <c r="L34" s="347"/>
    </row>
    <row r="35" spans="1:12" s="65" customFormat="1" ht="24" customHeight="1">
      <c r="A35" s="353" t="s">
        <v>32</v>
      </c>
      <c r="B35" s="337" t="s">
        <v>399</v>
      </c>
      <c r="C35" s="337">
        <v>2020</v>
      </c>
      <c r="D35" s="345">
        <f t="shared" si="1"/>
        <v>0</v>
      </c>
      <c r="E35" s="58"/>
      <c r="F35" s="58"/>
      <c r="G35" s="58"/>
      <c r="H35" s="58"/>
      <c r="I35" s="345">
        <v>0</v>
      </c>
      <c r="J35" s="349"/>
      <c r="K35" s="349"/>
      <c r="L35" s="347"/>
    </row>
    <row r="36" spans="1:12" s="65" customFormat="1" ht="21.75" customHeight="1">
      <c r="A36" s="353"/>
      <c r="B36" s="337"/>
      <c r="C36" s="337">
        <v>2021</v>
      </c>
      <c r="D36" s="345">
        <f t="shared" si="1"/>
        <v>0</v>
      </c>
      <c r="E36" s="58"/>
      <c r="F36" s="58"/>
      <c r="G36" s="58"/>
      <c r="H36" s="58"/>
      <c r="I36" s="345">
        <v>0</v>
      </c>
      <c r="J36" s="349"/>
      <c r="K36" s="349"/>
      <c r="L36" s="347"/>
    </row>
    <row r="37" spans="1:12" s="65" customFormat="1" ht="25.5" customHeight="1">
      <c r="A37" s="353"/>
      <c r="B37" s="337"/>
      <c r="C37" s="348">
        <v>2022</v>
      </c>
      <c r="D37" s="345">
        <f t="shared" si="1"/>
        <v>0</v>
      </c>
      <c r="E37" s="58"/>
      <c r="F37" s="58"/>
      <c r="G37" s="58"/>
      <c r="H37" s="58"/>
      <c r="I37" s="345">
        <v>0</v>
      </c>
      <c r="J37" s="349"/>
      <c r="K37" s="349"/>
      <c r="L37" s="347"/>
    </row>
    <row r="38" spans="1:12" s="65" customFormat="1" ht="25.5" customHeight="1">
      <c r="A38" s="353"/>
      <c r="B38" s="337"/>
      <c r="C38" s="348">
        <v>2023</v>
      </c>
      <c r="D38" s="345">
        <f t="shared" si="1"/>
        <v>0</v>
      </c>
      <c r="E38" s="58"/>
      <c r="F38" s="58"/>
      <c r="G38" s="58"/>
      <c r="H38" s="58"/>
      <c r="I38" s="345">
        <v>0</v>
      </c>
      <c r="J38" s="349"/>
      <c r="K38" s="349"/>
      <c r="L38" s="347"/>
    </row>
    <row r="39" spans="1:12" s="65" customFormat="1" ht="25.5" customHeight="1">
      <c r="A39" s="353"/>
      <c r="B39" s="337"/>
      <c r="C39" s="348">
        <v>2024</v>
      </c>
      <c r="D39" s="345">
        <f t="shared" si="1"/>
        <v>0</v>
      </c>
      <c r="E39" s="58"/>
      <c r="F39" s="58"/>
      <c r="G39" s="58"/>
      <c r="H39" s="58"/>
      <c r="I39" s="345">
        <v>0</v>
      </c>
      <c r="J39" s="349"/>
      <c r="K39" s="349"/>
      <c r="L39" s="347"/>
    </row>
    <row r="40" spans="1:12" s="65" customFormat="1" ht="25.5" customHeight="1">
      <c r="A40" s="353"/>
      <c r="B40" s="337"/>
      <c r="C40" s="348">
        <v>2025</v>
      </c>
      <c r="D40" s="345">
        <f t="shared" si="1"/>
        <v>0</v>
      </c>
      <c r="E40" s="58"/>
      <c r="F40" s="58"/>
      <c r="G40" s="58"/>
      <c r="H40" s="58"/>
      <c r="I40" s="345">
        <v>0</v>
      </c>
      <c r="J40" s="349"/>
      <c r="K40" s="349"/>
      <c r="L40" s="347"/>
    </row>
    <row r="41" spans="1:12" s="65" customFormat="1" ht="25.5" customHeight="1">
      <c r="A41" s="353" t="s">
        <v>63</v>
      </c>
      <c r="B41" s="313" t="s">
        <v>400</v>
      </c>
      <c r="C41" s="337">
        <v>2020</v>
      </c>
      <c r="D41" s="345">
        <f t="shared" si="1"/>
        <v>0</v>
      </c>
      <c r="E41" s="58"/>
      <c r="F41" s="58"/>
      <c r="G41" s="58"/>
      <c r="H41" s="58"/>
      <c r="I41" s="345">
        <v>0</v>
      </c>
      <c r="J41" s="349"/>
      <c r="K41" s="349"/>
      <c r="L41" s="347"/>
    </row>
    <row r="42" spans="1:12" s="65" customFormat="1" ht="25.5" customHeight="1">
      <c r="A42" s="353"/>
      <c r="B42" s="313"/>
      <c r="C42" s="337">
        <v>2021</v>
      </c>
      <c r="D42" s="345">
        <f t="shared" si="1"/>
        <v>0</v>
      </c>
      <c r="E42" s="58"/>
      <c r="F42" s="58"/>
      <c r="G42" s="58"/>
      <c r="H42" s="58"/>
      <c r="I42" s="345">
        <v>0</v>
      </c>
      <c r="J42" s="349"/>
      <c r="K42" s="349"/>
      <c r="L42" s="347"/>
    </row>
    <row r="43" spans="1:12" s="65" customFormat="1" ht="24" customHeight="1">
      <c r="A43" s="353"/>
      <c r="B43" s="313"/>
      <c r="C43" s="348">
        <v>2020</v>
      </c>
      <c r="D43" s="345">
        <f t="shared" si="1"/>
        <v>0</v>
      </c>
      <c r="E43" s="58"/>
      <c r="F43" s="58"/>
      <c r="G43" s="58"/>
      <c r="H43" s="58"/>
      <c r="I43" s="345">
        <v>0</v>
      </c>
      <c r="J43" s="349"/>
      <c r="K43" s="349"/>
      <c r="L43" s="347"/>
    </row>
    <row r="44" spans="1:12" s="65" customFormat="1" ht="24" customHeight="1">
      <c r="A44" s="353"/>
      <c r="B44" s="313"/>
      <c r="C44" s="354">
        <v>2023</v>
      </c>
      <c r="D44" s="345">
        <f t="shared" si="1"/>
        <v>0</v>
      </c>
      <c r="E44" s="58"/>
      <c r="F44" s="58"/>
      <c r="G44" s="58"/>
      <c r="H44" s="58"/>
      <c r="I44" s="345">
        <v>0</v>
      </c>
      <c r="J44" s="349"/>
      <c r="K44" s="349"/>
      <c r="L44" s="347"/>
    </row>
    <row r="45" spans="1:12" s="65" customFormat="1" ht="24" customHeight="1">
      <c r="A45" s="353"/>
      <c r="B45" s="313"/>
      <c r="C45" s="354">
        <v>2024</v>
      </c>
      <c r="D45" s="345">
        <f t="shared" si="1"/>
        <v>0</v>
      </c>
      <c r="E45" s="58"/>
      <c r="F45" s="58"/>
      <c r="G45" s="58"/>
      <c r="H45" s="58"/>
      <c r="I45" s="345">
        <v>0</v>
      </c>
      <c r="J45" s="349"/>
      <c r="K45" s="349"/>
      <c r="L45" s="347"/>
    </row>
    <row r="46" spans="1:12" s="65" customFormat="1" ht="24" customHeight="1">
      <c r="A46" s="353"/>
      <c r="B46" s="313"/>
      <c r="C46" s="354">
        <v>2025</v>
      </c>
      <c r="D46" s="345">
        <f t="shared" si="1"/>
        <v>0</v>
      </c>
      <c r="E46" s="58"/>
      <c r="F46" s="58"/>
      <c r="G46" s="58"/>
      <c r="H46" s="58"/>
      <c r="I46" s="345">
        <v>0</v>
      </c>
      <c r="J46" s="349"/>
      <c r="K46" s="349"/>
      <c r="L46" s="347"/>
    </row>
    <row r="47" spans="1:12" s="65" customFormat="1" ht="24" customHeight="1">
      <c r="A47" s="353" t="s">
        <v>67</v>
      </c>
      <c r="B47" s="355" t="s">
        <v>401</v>
      </c>
      <c r="C47" s="337">
        <v>2020</v>
      </c>
      <c r="D47" s="345">
        <f t="shared" si="1"/>
        <v>0</v>
      </c>
      <c r="E47" s="58"/>
      <c r="F47" s="58"/>
      <c r="G47" s="58"/>
      <c r="H47" s="58"/>
      <c r="I47" s="345">
        <v>0</v>
      </c>
      <c r="J47" s="349"/>
      <c r="K47" s="349"/>
      <c r="L47" s="347"/>
    </row>
    <row r="48" spans="1:12" s="65" customFormat="1" ht="24" customHeight="1">
      <c r="A48" s="353"/>
      <c r="B48" s="355"/>
      <c r="C48" s="337">
        <v>2021</v>
      </c>
      <c r="D48" s="345">
        <f t="shared" si="1"/>
        <v>0</v>
      </c>
      <c r="E48" s="58"/>
      <c r="F48" s="58"/>
      <c r="G48" s="58"/>
      <c r="H48" s="58"/>
      <c r="I48" s="345">
        <v>0</v>
      </c>
      <c r="J48" s="349"/>
      <c r="K48" s="349"/>
      <c r="L48" s="347"/>
    </row>
    <row r="49" spans="1:12" s="65" customFormat="1" ht="21" customHeight="1">
      <c r="A49" s="353"/>
      <c r="B49" s="355"/>
      <c r="C49" s="348">
        <v>2022</v>
      </c>
      <c r="D49" s="345">
        <f t="shared" si="1"/>
        <v>0</v>
      </c>
      <c r="E49" s="58"/>
      <c r="F49" s="58"/>
      <c r="G49" s="58"/>
      <c r="H49" s="58"/>
      <c r="I49" s="345">
        <v>0</v>
      </c>
      <c r="J49" s="349"/>
      <c r="K49" s="349"/>
      <c r="L49" s="347"/>
    </row>
    <row r="50" spans="1:12" s="65" customFormat="1" ht="21" customHeight="1">
      <c r="A50" s="353"/>
      <c r="B50" s="355"/>
      <c r="C50" s="348">
        <v>2023</v>
      </c>
      <c r="D50" s="345">
        <f t="shared" si="1"/>
        <v>0</v>
      </c>
      <c r="E50" s="58"/>
      <c r="F50" s="58"/>
      <c r="G50" s="58"/>
      <c r="H50" s="58"/>
      <c r="I50" s="345">
        <v>0</v>
      </c>
      <c r="J50" s="349"/>
      <c r="K50" s="349"/>
      <c r="L50" s="347"/>
    </row>
    <row r="51" spans="1:12" s="65" customFormat="1" ht="21" customHeight="1">
      <c r="A51" s="353"/>
      <c r="B51" s="355"/>
      <c r="C51" s="348">
        <v>2024</v>
      </c>
      <c r="D51" s="345">
        <f t="shared" si="1"/>
        <v>0</v>
      </c>
      <c r="E51" s="58"/>
      <c r="F51" s="58"/>
      <c r="G51" s="58"/>
      <c r="H51" s="58"/>
      <c r="I51" s="345">
        <v>0</v>
      </c>
      <c r="J51" s="349"/>
      <c r="K51" s="349"/>
      <c r="L51" s="347"/>
    </row>
    <row r="52" spans="1:12" s="65" customFormat="1" ht="21" customHeight="1">
      <c r="A52" s="353"/>
      <c r="B52" s="355"/>
      <c r="C52" s="348">
        <v>2025</v>
      </c>
      <c r="D52" s="345">
        <f t="shared" si="1"/>
        <v>0</v>
      </c>
      <c r="E52" s="58"/>
      <c r="F52" s="58"/>
      <c r="G52" s="58"/>
      <c r="H52" s="58"/>
      <c r="I52" s="345">
        <v>0</v>
      </c>
      <c r="J52" s="349"/>
      <c r="K52" s="349"/>
      <c r="L52" s="347"/>
    </row>
    <row r="53" spans="1:12" s="65" customFormat="1" ht="21" customHeight="1">
      <c r="A53" s="356" t="s">
        <v>402</v>
      </c>
      <c r="B53" s="356"/>
      <c r="C53" s="337">
        <v>2020</v>
      </c>
      <c r="D53" s="345">
        <f t="shared" si="1"/>
        <v>6.14</v>
      </c>
      <c r="E53" s="58"/>
      <c r="F53" s="58"/>
      <c r="G53" s="58"/>
      <c r="H53" s="58"/>
      <c r="I53" s="345">
        <f aca="true" t="shared" si="2" ref="I53:I57">I17</f>
        <v>6.14</v>
      </c>
      <c r="J53" s="349"/>
      <c r="K53" s="349"/>
      <c r="L53" s="347"/>
    </row>
    <row r="54" spans="1:12" s="65" customFormat="1" ht="21" customHeight="1">
      <c r="A54" s="356"/>
      <c r="B54" s="356"/>
      <c r="C54" s="337">
        <v>2021</v>
      </c>
      <c r="D54" s="345">
        <f t="shared" si="1"/>
        <v>104</v>
      </c>
      <c r="E54" s="58"/>
      <c r="F54" s="58"/>
      <c r="G54" s="58"/>
      <c r="H54" s="58"/>
      <c r="I54" s="345">
        <f t="shared" si="2"/>
        <v>104</v>
      </c>
      <c r="J54" s="349"/>
      <c r="K54" s="349"/>
      <c r="L54" s="347"/>
    </row>
    <row r="55" spans="1:12" s="65" customFormat="1" ht="21" customHeight="1">
      <c r="A55" s="356"/>
      <c r="B55" s="356"/>
      <c r="C55" s="348">
        <v>2022</v>
      </c>
      <c r="D55" s="345">
        <f t="shared" si="1"/>
        <v>1837.98478</v>
      </c>
      <c r="E55" s="58"/>
      <c r="F55" s="58"/>
      <c r="G55" s="58"/>
      <c r="H55" s="58"/>
      <c r="I55" s="345">
        <f t="shared" si="2"/>
        <v>1837.98478</v>
      </c>
      <c r="J55" s="349"/>
      <c r="K55" s="349"/>
      <c r="L55" s="347"/>
    </row>
    <row r="56" spans="1:12" s="65" customFormat="1" ht="21" customHeight="1">
      <c r="A56" s="356"/>
      <c r="B56" s="356"/>
      <c r="C56" s="350">
        <v>2023</v>
      </c>
      <c r="D56" s="351">
        <f>F56+I56</f>
        <v>676.34895</v>
      </c>
      <c r="E56" s="352"/>
      <c r="F56" s="352">
        <f>G56+H56</f>
        <v>612.00692</v>
      </c>
      <c r="G56" s="352"/>
      <c r="H56" s="352">
        <f>H20</f>
        <v>612.00692</v>
      </c>
      <c r="I56" s="351">
        <f t="shared" si="2"/>
        <v>64.34202999999995</v>
      </c>
      <c r="J56" s="349"/>
      <c r="K56" s="349"/>
      <c r="L56" s="347"/>
    </row>
    <row r="57" spans="1:12" s="65" customFormat="1" ht="21" customHeight="1">
      <c r="A57" s="356"/>
      <c r="B57" s="356"/>
      <c r="C57" s="348">
        <v>2024</v>
      </c>
      <c r="D57" s="345">
        <f aca="true" t="shared" si="3" ref="D57:D58">I57</f>
        <v>0</v>
      </c>
      <c r="E57" s="58"/>
      <c r="F57" s="58"/>
      <c r="G57" s="58"/>
      <c r="H57" s="58"/>
      <c r="I57" s="345">
        <f t="shared" si="2"/>
        <v>0</v>
      </c>
      <c r="J57" s="349"/>
      <c r="K57" s="349"/>
      <c r="L57" s="347"/>
    </row>
    <row r="58" spans="1:12" s="65" customFormat="1" ht="21" customHeight="1">
      <c r="A58" s="356"/>
      <c r="B58" s="356"/>
      <c r="C58" s="348">
        <v>2025</v>
      </c>
      <c r="D58" s="345">
        <f t="shared" si="3"/>
        <v>0</v>
      </c>
      <c r="E58" s="58"/>
      <c r="F58" s="58"/>
      <c r="G58" s="58"/>
      <c r="H58" s="58"/>
      <c r="I58" s="345">
        <f>I22+I46+I40+I34+I28+I52</f>
        <v>0</v>
      </c>
      <c r="J58" s="349"/>
      <c r="K58" s="349"/>
      <c r="L58" s="347"/>
    </row>
    <row r="59" spans="1:12" s="65" customFormat="1" ht="69.75" customHeight="1">
      <c r="A59" s="357" t="s">
        <v>403</v>
      </c>
      <c r="B59" s="357"/>
      <c r="C59" s="358" t="s">
        <v>404</v>
      </c>
      <c r="D59" s="57">
        <f>F59+I59</f>
        <v>2624.47373</v>
      </c>
      <c r="E59" s="57"/>
      <c r="F59" s="57">
        <f>F56</f>
        <v>612.00692</v>
      </c>
      <c r="G59" s="57"/>
      <c r="H59" s="57">
        <f>H56</f>
        <v>612.00692</v>
      </c>
      <c r="I59" s="57">
        <f>SUM(I53:I58)</f>
        <v>2012.4668100000001</v>
      </c>
      <c r="J59" s="349"/>
      <c r="K59" s="349"/>
      <c r="L59" s="347"/>
    </row>
    <row r="60" spans="1:4" s="65" customFormat="1" ht="14.25" customHeight="1">
      <c r="A60" s="359"/>
      <c r="B60" s="360"/>
      <c r="C60" s="360"/>
      <c r="D60" s="359"/>
    </row>
    <row r="61" spans="1:4" s="65" customFormat="1" ht="14.25" customHeight="1">
      <c r="A61" s="359"/>
      <c r="B61" s="360"/>
      <c r="C61" s="360"/>
      <c r="D61" s="359"/>
    </row>
    <row r="62" spans="1:4" s="65" customFormat="1" ht="14.25" customHeight="1">
      <c r="A62" s="359"/>
      <c r="B62" s="360"/>
      <c r="C62" s="360"/>
      <c r="D62" s="359"/>
    </row>
    <row r="63" spans="1:4" s="65" customFormat="1" ht="14.25" customHeight="1">
      <c r="A63" s="359"/>
      <c r="B63" s="359"/>
      <c r="C63" s="359"/>
      <c r="D63" s="359"/>
    </row>
    <row r="64" spans="1:4" s="65" customFormat="1" ht="14.25" customHeight="1">
      <c r="A64" s="359"/>
      <c r="B64" s="359"/>
      <c r="C64" s="359"/>
      <c r="D64" s="359"/>
    </row>
  </sheetData>
  <sheetProtection selectLockedCells="1" selectUnlockedCells="1"/>
  <mergeCells count="37">
    <mergeCell ref="A2:L2"/>
    <mergeCell ref="J3:L3"/>
    <mergeCell ref="K4:L4"/>
    <mergeCell ref="A6:N6"/>
    <mergeCell ref="A8:A12"/>
    <mergeCell ref="B8:B12"/>
    <mergeCell ref="C8:C12"/>
    <mergeCell ref="D8:D12"/>
    <mergeCell ref="E8:I8"/>
    <mergeCell ref="J8:J12"/>
    <mergeCell ref="K8:K12"/>
    <mergeCell ref="L8:L12"/>
    <mergeCell ref="E9:E12"/>
    <mergeCell ref="F9:H9"/>
    <mergeCell ref="I9:I12"/>
    <mergeCell ref="F10:H10"/>
    <mergeCell ref="F11:F12"/>
    <mergeCell ref="G11:H11"/>
    <mergeCell ref="A14:L14"/>
    <mergeCell ref="A15:L15"/>
    <mergeCell ref="A16:L16"/>
    <mergeCell ref="A17:A22"/>
    <mergeCell ref="B17:B22"/>
    <mergeCell ref="K17:K22"/>
    <mergeCell ref="L17:L59"/>
    <mergeCell ref="A23:A28"/>
    <mergeCell ref="B23:B28"/>
    <mergeCell ref="A29:A34"/>
    <mergeCell ref="B29:B34"/>
    <mergeCell ref="A35:A40"/>
    <mergeCell ref="B35:B40"/>
    <mergeCell ref="A41:A46"/>
    <mergeCell ref="B41:B46"/>
    <mergeCell ref="A47:A52"/>
    <mergeCell ref="B47:B52"/>
    <mergeCell ref="A53:B58"/>
    <mergeCell ref="A59:B59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2023-12-22T07:17:09Z</cp:lastPrinted>
  <dcterms:created xsi:type="dcterms:W3CDTF">2014-10-21T12:29:03Z</dcterms:created>
  <dcterms:modified xsi:type="dcterms:W3CDTF">2024-01-16T05:25:21Z</dcterms:modified>
  <cp:category/>
  <cp:version/>
  <cp:contentType/>
  <cp:contentStatus/>
  <cp:revision>1</cp:revision>
</cp:coreProperties>
</file>