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7992" tabRatio="478" activeTab="0"/>
  </bookViews>
  <sheets>
    <sheet name="Изменения  от 22.09.20г. " sheetId="1" r:id="rId1"/>
  </sheets>
  <definedNames>
    <definedName name="_xlnm.Print_Titles" localSheetId="0">'Изменения  от 22.09.20г. '!$5:$10</definedName>
    <definedName name="_xlnm.Print_Area" localSheetId="0">'Изменения  от 22.09.20г. '!$A$1:$M$514</definedName>
  </definedNames>
  <calcPr fullCalcOnLoad="1"/>
</workbook>
</file>

<file path=xl/comments1.xml><?xml version="1.0" encoding="utf-8"?>
<comments xmlns="http://schemas.openxmlformats.org/spreadsheetml/2006/main">
  <authors>
    <author>retivova_vyu</author>
  </authors>
  <commentList>
    <comment ref="J167" authorId="0">
      <text>
        <r>
          <rPr>
            <b/>
            <sz val="9"/>
            <rFont val="Tahoma"/>
            <family val="2"/>
          </rPr>
          <t>retivova_vyu: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<sst xmlns="http://schemas.openxmlformats.org/spreadsheetml/2006/main" count="656" uniqueCount="282">
  <si>
    <t>Объём финансирования (тыс.руб.)</t>
  </si>
  <si>
    <t>Исполнители - ответственные за реализацию мероприятия</t>
  </si>
  <si>
    <t>Мероприятия:</t>
  </si>
  <si>
    <t>Управление образования</t>
  </si>
  <si>
    <t xml:space="preserve">Управление образования </t>
  </si>
  <si>
    <t xml:space="preserve">Управление образования  </t>
  </si>
  <si>
    <t xml:space="preserve">Управление образования    </t>
  </si>
  <si>
    <t>МКУ «ГКМХ»</t>
  </si>
  <si>
    <t xml:space="preserve">Направление мероприятия </t>
  </si>
  <si>
    <t xml:space="preserve">Срок исполнения </t>
  </si>
  <si>
    <t>МБДОУ ЦРР Д/С №3</t>
  </si>
  <si>
    <t>Субвенции</t>
  </si>
  <si>
    <t>МБДОУ ЦРР Д/С № 6</t>
  </si>
  <si>
    <t>В том числе:</t>
  </si>
  <si>
    <t>Внебюджетные средства</t>
  </si>
  <si>
    <t>МБДОУ ЦРР Д/С № 3</t>
  </si>
  <si>
    <t>,</t>
  </si>
  <si>
    <t>МБОУ СОШ № 2</t>
  </si>
  <si>
    <t>5. "Социальная поддержка населения"</t>
  </si>
  <si>
    <t>МБДОУ ЦРР Д/С № 5</t>
  </si>
  <si>
    <t>МБОУСОШ №1</t>
  </si>
  <si>
    <t>МБОУСОШ №2</t>
  </si>
  <si>
    <t>Задача: Реализация расходов на обеспечение деятельности муниципальных учреждений</t>
  </si>
  <si>
    <t>Цель: Обеспечение социальной поддержки населения</t>
  </si>
  <si>
    <t>Задача: Реализация расходов на на социальную поддержку населения</t>
  </si>
  <si>
    <t>1. Развитие системы обеспечения доступности качества образовательных услуг</t>
  </si>
  <si>
    <t>Управление образования, МБОУ ДОД ЦВР "Лад"</t>
  </si>
  <si>
    <t>ИТОГО по подпрограмме:</t>
  </si>
  <si>
    <t>Итого по разделу 1:</t>
  </si>
  <si>
    <t>МБДОУ ЦРР Д/С №5</t>
  </si>
  <si>
    <t>МБДОУ ЦРР Д/С №6</t>
  </si>
  <si>
    <t>МБОУ СОШ № 1</t>
  </si>
  <si>
    <t>МБОУ ДОД ЦВР "Лад"</t>
  </si>
  <si>
    <t>Итого по разделу 5:</t>
  </si>
  <si>
    <t>МКУ «ГКМХ», управление образования</t>
  </si>
  <si>
    <t>МБОУ ДОД ЦВР "Лад" (з/пл. педагогов доведение до указа президента)</t>
  </si>
  <si>
    <t>Итого по разделу 2:</t>
  </si>
  <si>
    <t>МБОУ ДОД ЦВР "Лад",МБОУ СОШ №1 , МБДОУ ЦРР Д/С №5</t>
  </si>
  <si>
    <t>Итого по разделу 3:</t>
  </si>
  <si>
    <t>МБОУ ДОД ЦВР "Лад",МБОУ СОШ №1 , МБДОУ ЦРР Д/С №5; Д/с 3; Д/с 6;СОШ №2</t>
  </si>
  <si>
    <t>д/с № 3</t>
  </si>
  <si>
    <t>д/с № 6</t>
  </si>
  <si>
    <t>сош № 1</t>
  </si>
  <si>
    <t>сош № 2</t>
  </si>
  <si>
    <t>ЦВР "Лад"</t>
  </si>
  <si>
    <t>СОШ № !</t>
  </si>
  <si>
    <t>СОШ № 2</t>
  </si>
  <si>
    <t>ГКМХ</t>
  </si>
  <si>
    <t>Вознаграждение за конкурс "Лучший учитель" 2017 г.-100%, 2018 г.- 100%, 2019 г.-100%, 2020г- 100%</t>
  </si>
  <si>
    <t>Выполнение стандарта по ОБЖ, участие в учебных сборах юношей – учащихся 10-х классов, допущенных до прохождения в сборах 2017 г.-100%, 2018 г.- 100%, 2019 г.- 100%, 2020г. -100%</t>
  </si>
  <si>
    <t>Повышение престижа педагогической профессии, продолжение обучения в ВУЗах и СУЗах выпускников 11 классов: 2017 г.- 88%, 2018 г.- 89%, 2019 г.- 90%, 2020г. -95%</t>
  </si>
  <si>
    <t>Своевременное повышение квалификации работников управления образования ЗАТО г.Радужный, образовательных учреждений в 2017 г.-80%, 2018 г.-81%, 2019 г.- 82%, 2020г. 90%</t>
  </si>
  <si>
    <t>Снижение правонарушений в детской и подростковой среде, сокращение числа детей стоящих на всех видах учета  от общей численности учащихся до: 2017 г.-3%, 2018 г.-3,5%, 2019 г.-4%, 2020г. -4,5%</t>
  </si>
  <si>
    <t>Рост числа участников олимпиад, конкурсов, фестивалей, выставок к общему количеству обучающихся: 2017 г.-79%, 2018 г.- 80%, 2019 г.- 81%, 2020г. -82%</t>
  </si>
  <si>
    <t>МБОУ ДОД ЦВР "Лад" (софин.)</t>
  </si>
  <si>
    <t>Обеспечение прозрачности процедуры проведения государственной итоговой аттестации и соблюдения требований ФЗ "Об образовании в РФ" в 2017 г.-100%, 2018 г.- 100%, 2019 г.- 100%, 2020г.- 100%</t>
  </si>
  <si>
    <t>Цель: Реализация основных общеобразовательных программ  дошкольного, начального, основного,  среднего  образования и  реализация дополнительных общеразвивающих программ</t>
  </si>
  <si>
    <t>4. Выполнение управленческих функций, обеспечивающих стабильность работы подведомственных учреждений</t>
  </si>
  <si>
    <t>Доля детей-инвалидов дошкольного возраста, охваченных социальной поддержкой: 2017 год -100%, 2018 год - 100%, 2019 год - 100%, 2020 год - 100%</t>
  </si>
  <si>
    <t>Доля  граждан, получивших компенсацию расходов на оплату жилых помещений, отопления и освещения, в общей численности граждан, имеющих право на данную компенсацию: 2017 год -100%, 2018 год - 100%, 2019 год - 100%, 2020 год - 100%</t>
  </si>
  <si>
    <t>Доля  граждан, получивших компенсацию части родительской платы за соде6ржание ребенка в муниципальных образовательных учреждениях, в общей численности граждан, имеющих право на данную компенсацию: 2017 год -100%, 2018 год - 100%, 2019 год - 100%, 2020 год - 100%</t>
  </si>
  <si>
    <t>Создание условий для участия обучающихся образовательных учреждений в конкурсах, соревнованиях за пределами города.</t>
  </si>
  <si>
    <t>Охват независимой оценкой качества условий осуществления образовательной деятельности организациями составит 100%. Доля образовательных учреждений (по уровням), ежегодно представляющих общественности публичный отчет, обеспечивающий открытость и прозрачность образовательной и хозяйственной деятельности: 100%.</t>
  </si>
  <si>
    <t>Унификация программного продукта. Внедрение программного комплекса «1С: управление школой», "Барс" в 2017 г.-100%, 2018 г.- 100%, 2019 г.- 100% , 2020г- 100%. Удельный вес числа общеобразовательных учреждений, имеющих скорость подключения к информационно-телекоммуникационной сети "Интернет" от 1 Мбит/с и выше, в общем числе общеобразовательных учреждений, подключенных к информационно-телекоммуникационной сети "Интернет", - 100%.   Доля общеобразовательных учреждений, использующих дистанционные технологии, в общей численности общеобразовательных учреждений: 2017 г.-  50%, 2018 г. - 50%, 2019 г. -100%, 2020 г.  - 100%</t>
  </si>
  <si>
    <t xml:space="preserve">Доля образовательных учреждений общего образования, дополнительного образования, в которых обеспечены условия для реализации соответствующих программ, в общем количестве учреждений: 2017 год - 100%, 2018 год  - 100%,  2019 год - 100%, 2020 год - 100%. Удельный вес численности обучающихся, занимающихся в первую смену, в общей численности обучающихся в муниципальных общеобразовательных учреждениях - 100%. Удельный вес численности обучающихся в зданиях, имеющих все виды благоустройств - 100%.
</t>
  </si>
  <si>
    <t xml:space="preserve">Удельный вес численности детей дошкольных образовательных учреждений в возрасте от 3 до 7 лет, охваченных образовательными программами, соответствующими новому образовательному стандарту дошкольного образования - 100%
Численность детей в дошкольных образовательных учреждениях, приходящихся на одного педагогического работника, к 2020 году - 9,7.
Доля детей-инвалидов дошкольного возраста, охваченных социальной поддержкой, -100%
Отношение среднемесячной заработной платы педагогических работников муниципальных дошкольных образовательных учреждений к средней заработной плате в общем образовании Владимирской области - 100%.
Удельный вес численности обучающихся в образовательных учреждениях общего образования в соответствии с федеральными государственными образовательными стандартами в общей численности обучающихся в образовательных учреждениях общего образованияк 2020 г. - 100%.
Удельный вес численности учащихся 9-10 классов, обучающихся по программам предпрофильной подготовки и программам профильного обучения к 2020 г. - 50%.
Удельный вес численности обучающихся, занимающихся в первую смену, в общей численности обучающихся в муниципальных общеобразовательных учреждениях - 100%.
Число обучающихся в расчете на одного педагогического работника общего образования - 15,5.
Доля общеобразовательных учреждений, использующих дистанционные технологии, в общей численности общеобразовательных учреждений, к 2020 г. - 100%.
Удельный вес численности детей-инвалидов, обучающихся по программам общего образования на дому с использованием дистанционных образовательных технологий, в общей численности детей-инвалидов, которым не противопоказано обучение, к 2020 г. -5%.
Отношение среднемесячной заработной платы педагогических работников образовательных учреждений общего образования к среднемесячной заработной плате во Владимирской области, 100%.
Охват детей в возрасте 5 - 18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5 - 18 лет) - к 2010 г. - 78%.
Отношение среднемесячной заработной платы педагогических работников муниципальных учреждений дополнительного образования детей к среднемесячной заработной плате учителей во Владимирской области - 100%
Удельный вес числа образовательных учреждений, в которых созданы органы коллегиального управления с участием общественности (родители, работодатели), в общем числе образовательных учреждений - 100%.
Удельный вес числа образовательных учреждений, обеспечивающих предоставление нормативно закрепленного перечня сведений о своей деятельности на официальных сайтах, в общем числе образовательных учреждений - 100%.
Доля детей-инвалидов в возрасте от 5 до 18 лет, получающих дополнительное образование, от общей численности детей-инвалидов данного возраста - к 2020 г. 79%.
Доля педагогических и руководящих работников муниципальных образовательных учреждений, прошедших в течение последних 3 лет повышение квалификации или профессиональную переподготовку, 100%
</t>
  </si>
  <si>
    <t xml:space="preserve"> Своевременное повышение квалификации работников управления образования ЗАТО г.Радужный, образовательных учреждений в 2017 г.-80%, 2018 г.-81%, 2019 г.- 82%, 2020г. 90% </t>
  </si>
  <si>
    <t>1.1.</t>
  </si>
  <si>
    <t xml:space="preserve"> Создание условий для получения качественного дошкольного, начального общего, основного общего, среднего общего, дополнительного образования. Проведение независимой оценки качества образовательной деятельности муниципальных образовательных учреждений;  аттестация рабочего места для общеобразовательных учреждений                                      </t>
  </si>
  <si>
    <t>1.2.</t>
  </si>
  <si>
    <t>1.3.</t>
  </si>
  <si>
    <t xml:space="preserve"> Проведение мероприятий, направленных на пропаганду здорового образа жизни, проведение спартакиады, сдача норм ГТО, ("Крепыш")</t>
  </si>
  <si>
    <t>1.4.</t>
  </si>
  <si>
    <t>1.5.</t>
  </si>
  <si>
    <t>. Проведение городских праздников "День знаний", " "Выпускник", "День учителя"</t>
  </si>
  <si>
    <t>1.6.</t>
  </si>
  <si>
    <t xml:space="preserve"> Проведение военных сборов       (участие в проведении акции "День призывника")</t>
  </si>
  <si>
    <t>1.7.</t>
  </si>
  <si>
    <t>1.8.</t>
  </si>
  <si>
    <t xml:space="preserve"> Обеспечение функционирования программного комплекса "1С-управление школой",  ИС "Барс", модернизация оборудования, создание системы защиты персональных данных, обеспечение муниципальных услуг в электронном виде. Приобретение интерактивного оборудования МБДОУ ЦРР Д/С №3 и мебели МБДОУ Д/С №5., МБДОУ Д/С № 6, МБОУ СОШ № 1, МБОУ СОШ№2, МБОУ ДО ЦВР "Лад". Поощрение ГРБС, добившихся высоких результатов в использовании бюджетных ассигнований и качества управления финансами.</t>
  </si>
  <si>
    <t>1.9.</t>
  </si>
  <si>
    <t xml:space="preserve"> Приобретение автобуса" Газель Next" в МБОУ ДОД ЦВР "Лад",газового оборудования в котельную МБОУ СОШ №1 и МБДОУ ЦРР Д/С №5</t>
  </si>
  <si>
    <t>2.1.1.</t>
  </si>
  <si>
    <t>2.1.2.</t>
  </si>
  <si>
    <t>Дошкольных учреждений  (текущий ремонт)</t>
  </si>
  <si>
    <t>3.1.</t>
  </si>
  <si>
    <t>3.2.</t>
  </si>
  <si>
    <t xml:space="preserve"> Выполнение  функций муниципального задания  </t>
  </si>
  <si>
    <t>4.1.</t>
  </si>
  <si>
    <t>5.1.</t>
  </si>
  <si>
    <t>5.2.</t>
  </si>
  <si>
    <t>5.3.</t>
  </si>
  <si>
    <t>Другие собственные доходы</t>
  </si>
  <si>
    <t>Собственных доходов:</t>
  </si>
  <si>
    <t>Всего</t>
  </si>
  <si>
    <t>в том числе</t>
  </si>
  <si>
    <t>Субсидии, иные межбюджетные трансферты</t>
  </si>
  <si>
    <t>из федерального бюджета</t>
  </si>
  <si>
    <t>из областного бюджета</t>
  </si>
  <si>
    <t>2.1.</t>
  </si>
  <si>
    <t>3.Выполнение муниципальных заданий</t>
  </si>
  <si>
    <t>2.2.</t>
  </si>
  <si>
    <t>Обеспечение пожарной безопасности образовательных учреждений</t>
  </si>
  <si>
    <t>д/сад № 3</t>
  </si>
  <si>
    <t>д/сад № 5</t>
  </si>
  <si>
    <t>д/сад № 6</t>
  </si>
  <si>
    <t>СОШ № 1</t>
  </si>
  <si>
    <t>д/с № 5</t>
  </si>
  <si>
    <t>Обеспечение пожарной безопасности образовательных учреждений согласно требованиям  пожарной безопасностина 100 %</t>
  </si>
  <si>
    <t>д/с  № 5</t>
  </si>
  <si>
    <t>Управление образования    в т. ч 40,250- премия отличникам учебы</t>
  </si>
  <si>
    <t>Цвр "Лад"</t>
  </si>
  <si>
    <t>2017-2021г.г.</t>
  </si>
  <si>
    <t>1.11.</t>
  </si>
  <si>
    <t>2.3.1.</t>
  </si>
  <si>
    <t>2.3.</t>
  </si>
  <si>
    <t>2.3.2.</t>
  </si>
  <si>
    <t>2.3.3.</t>
  </si>
  <si>
    <t>2.3.4.</t>
  </si>
  <si>
    <t>2.3.5.</t>
  </si>
  <si>
    <t>Приобретение автоматических выключателей в электрощитки (замена)</t>
  </si>
  <si>
    <t xml:space="preserve">Обеспечение 100 % контроля по периметру здания в целях предупреждения возникновения угроз различного характера                   </t>
  </si>
  <si>
    <t>Охват видеонаблюдением до 80 % помещений общего пользования лестничные клетки и коридоры 1-2 эт. здания начальных классов; фойе и рекриации 2-3 эт. в основном здании)</t>
  </si>
  <si>
    <t>100% охват рекриаций 1-3 этажей видеонаблюдением, качественное воспроизведение записей, обеспеченность антитеррористической защищенности объекта на всех этажах</t>
  </si>
  <si>
    <t>Замена 30% автоматических выключателей для защиты распределительной сети</t>
  </si>
  <si>
    <t>Обеспечение безопасности дорожного движения</t>
  </si>
  <si>
    <t>ДОУ № 3</t>
  </si>
  <si>
    <t>ДОУ № 5</t>
  </si>
  <si>
    <t>ДОУ № 6</t>
  </si>
  <si>
    <t xml:space="preserve">2. "Обеспечение лицензионных требований к деятельности образовательных учреждений" </t>
  </si>
  <si>
    <t>Цель: Развитие инфраструктурыи обеспечение безопасностиобучающихся и работников образовательных учреждений во время их учебной и трудовой деятельностипутем проведения реконструкций , капитальногои текущегоремонтов, повышениябезопасностижизнедеятельности: пожарной, антитеррористической , а также технической и электрической безопасностизданий, сооружений иобразовательных учреждений.</t>
  </si>
  <si>
    <t>ремонт п/блока</t>
  </si>
  <si>
    <t>Общнобразовательных учреждений (текущий ремонт)</t>
  </si>
  <si>
    <t>Учреждения дополнительного образования (текущий ремонт)</t>
  </si>
  <si>
    <t>Оборудование видеокамерами цветного изображения рекреаций 1-3 этажей</t>
  </si>
  <si>
    <t>Приобретение первичных средств пожаротушения (огнетушители)</t>
  </si>
  <si>
    <t>Задача: Обеспечение условий реализации образовательных программ соответствующих уровней.</t>
  </si>
  <si>
    <t>Нормативные затраты, непосредственно связанные с оказанием муниципальных услуг</t>
  </si>
  <si>
    <t>Цель: Повышение эффективности управления  в системе образования</t>
  </si>
  <si>
    <t xml:space="preserve"> Расходы на обеспечение деятельности (оказания услуг) муниципальных организаци</t>
  </si>
  <si>
    <t>Социальная поддержка детей-инвалидов дошкольного возраста</t>
  </si>
  <si>
    <t>Соцальная поддерка по оплате жилья и коммуных услуг отдельным категориям граждан</t>
  </si>
  <si>
    <t>Компенсация части родительской платы за содержание ребенка в  муниципальных образовательных учреждениях</t>
  </si>
  <si>
    <t>1.2.1.</t>
  </si>
  <si>
    <t>Приобретение методической литературы для работы с детьми с ограниченными возможностями</t>
  </si>
  <si>
    <t>2.1.3.</t>
  </si>
  <si>
    <t>Проектные работы, реконструкция, текущие ремонты</t>
  </si>
  <si>
    <t xml:space="preserve"> Развитие системы выявления и поддержки одаренных детей, совершенствование воспитательной работы:                                                 - организация и проведение городских мероприятий;                  - участие обучающихся муниципальных образовательных учреждений в областных, региональных, всероссийских, международных конкурсах, фестивалях, смотрах, соревнованиях и др. (сопровождение обучающихся  работниками управления образования, образовательных учреждений, страхование, питание, оргвзносы, проезд, проживание, награждение участников, приобретение расходных материалов); 
- поддержка обучающихся, успешно выполняющих образовательные стандарты, в том числе выплаты единовременных персональных стипендий отличникам учебы</t>
  </si>
  <si>
    <t>ЦБ, МК упр. образования</t>
  </si>
  <si>
    <t>тек. ремонт</t>
  </si>
  <si>
    <t>СОШ 2</t>
  </si>
  <si>
    <t>СОШ 1</t>
  </si>
  <si>
    <t xml:space="preserve"> ЦВР "Лад" (з/плата)</t>
  </si>
  <si>
    <t>ЦВР "Лад"  (все расзоды)</t>
  </si>
  <si>
    <t>Задачи: 
1.Обеспечение безопасности обучающихся и работников образовательных учреждений во время их учебной и трудовой деятельности путем повышения безопасности жизнедеятельности: санитарно-эпидемиологической, противопожарной, антитеррористической, а также технической и электрической безопасности зданий, сооружений.
2. Обеспечение норм СанПиН для дошкольных, общеобразовательных учреждений и учреждений дополнительного образования
3.Выполнение основных общеобразовательных программдошкольногообразования в части реализации, содержанияи воспитания.</t>
  </si>
  <si>
    <t>Укрепление МТБ (приобретение)</t>
  </si>
  <si>
    <t xml:space="preserve">Приложение № 2 к программе "Развитие образования </t>
  </si>
  <si>
    <t>ЗАТО г. Радужный Владимирской области"</t>
  </si>
  <si>
    <t>"Укрепление материально-технической базы образовательных учреждений.</t>
  </si>
  <si>
    <t>Укрепление МТБ муниципальных образовательных  учреждений за счет ремонтва зданий (помещений) в здании начальных классов средней школы № 1</t>
  </si>
  <si>
    <t>ЦВР Лад - приобрет винтовки</t>
  </si>
  <si>
    <t>2.4.</t>
  </si>
  <si>
    <t>2.4.1.</t>
  </si>
  <si>
    <t>2.4.2.</t>
  </si>
  <si>
    <t>2.5.</t>
  </si>
  <si>
    <t xml:space="preserve"> Поощрение лучших учителей-лауреатов областного конкурса</t>
  </si>
  <si>
    <t>1.12.</t>
  </si>
  <si>
    <t>Управление образования, МБОУ ДО ЦВР "Лад"</t>
  </si>
  <si>
    <t>Упр-е образования, методкабинет</t>
  </si>
  <si>
    <t>Управление образования, СОШ № 1</t>
  </si>
  <si>
    <t>Проведение специальной оценки условий труда</t>
  </si>
  <si>
    <t>Проведдение специальной  оценки труда и независимоой оценки качества условий осуществления  образовательной деятельности образовательных организаций</t>
  </si>
  <si>
    <t>МБОУДО ЦВР "Лад"</t>
  </si>
  <si>
    <t>Поставка мегафона  и оповещателя</t>
  </si>
  <si>
    <t>Дополнительное оборудование здания начальных классов системой наружного и внутреннего  видеонаблюдения.</t>
  </si>
  <si>
    <t xml:space="preserve">Дополнительное оборудование основного здания  системой наружного и внутреннего видеонаблюдения: </t>
  </si>
  <si>
    <t>Доборудование дополнительными сетевыми камерами и коммутационной стойкой системы видеонаблюдения, видеорегистрации ЛВС основное здание "МБОУ СОШ № 1".</t>
  </si>
  <si>
    <t>Ремонт системы видеонаблюдения и установка дополнительного речевого модуля системы оповещения</t>
  </si>
  <si>
    <t>управление образования</t>
  </si>
  <si>
    <t>сош №1</t>
  </si>
  <si>
    <t xml:space="preserve">Установка камер видеонаблюдения </t>
  </si>
  <si>
    <t>сош 1</t>
  </si>
  <si>
    <t>сош 2</t>
  </si>
  <si>
    <t>ДОУ 5</t>
  </si>
  <si>
    <t>Оснащение охранной сигнализации (в т.ч. установкаэлектронных заиков для разблокировки на двери запасных выходов)</t>
  </si>
  <si>
    <t>Замена входных дверей главного запасного входа</t>
  </si>
  <si>
    <t>Синхронизация СКУД и домофонов</t>
  </si>
  <si>
    <t>ДОУ 3</t>
  </si>
  <si>
    <t>Приобретение аккууляторов для КТС</t>
  </si>
  <si>
    <t>Оснащение въездов на объект средствами снижения скорости</t>
  </si>
  <si>
    <t>ДОУ 6</t>
  </si>
  <si>
    <t>ЦВР  "Лад"</t>
  </si>
  <si>
    <t xml:space="preserve">Обеспечение антитеррористической защищенности, пожрной безопасности общеобразовательных организаций .                            </t>
  </si>
  <si>
    <t>2.5.1.</t>
  </si>
  <si>
    <t>2.5.2</t>
  </si>
  <si>
    <t>2.5.3.</t>
  </si>
  <si>
    <t>2.5.4.</t>
  </si>
  <si>
    <t>2.5.5.</t>
  </si>
  <si>
    <t>2.5.6.</t>
  </si>
  <si>
    <t>Антитеррористическая безопасность.                             Паспорта безопасности</t>
  </si>
  <si>
    <t>1.2.2.</t>
  </si>
  <si>
    <t>Премия отличникам учебы</t>
  </si>
  <si>
    <t xml:space="preserve">Устройство исистемы видеонаблюения спортивно-игровой площадки на межшкольном стадионе </t>
  </si>
  <si>
    <r>
      <t>Видеонаблюдение : оснащение пунктов проведения ЕГЭ.</t>
    </r>
    <r>
      <rPr>
        <sz val="14"/>
        <color indexed="30"/>
        <rFont val="Times New Roman"/>
        <family val="1"/>
      </rPr>
      <t xml:space="preserve"> </t>
    </r>
  </si>
  <si>
    <t>ГКМХ СОШ № 1 -софин-е</t>
  </si>
  <si>
    <t>ЦВР (дол)</t>
  </si>
  <si>
    <t xml:space="preserve"> ЦВР "Лад"(все расходы)</t>
  </si>
  <si>
    <t xml:space="preserve"> ЦВР "Лад" (софин.)</t>
  </si>
  <si>
    <t>ЦВР (софинанс к обл)</t>
  </si>
  <si>
    <t>ЦВР (софинанс к обл.)</t>
  </si>
  <si>
    <t xml:space="preserve"> ЦВР "Лад"(мун зад)</t>
  </si>
  <si>
    <t>Создание и функционирование на базе МБОУ ДО ЦВР "Лад"консультационного пункта по оказанию услуг психолого-педагогической, методической и консультативной помощи родителям (законным представителям) детей,  гражданам желающим принять на воспитание в свою семью детей, оставшихся без попечения родителей в рамках реализации проекта «Государственная поддержка некоммерческих организаций в целях оказания психолого-педагогической, методической и консультативной помощи гражданам, имеющих детей» в рамках федерального проекта  «Поддержка семей, имеющих детей» национального проекта «Образование» государственной программы Российской Федерации «Развитие образования».</t>
  </si>
  <si>
    <t>Оказание психолого- педагогической , методической и консультативной помощи обратившихся родителей (законных представителей), гражданам, желающим принять на воспитание в свою семью детей, оставшихся без попечения родителей. Повышение компетентности родителей (законных представителей) в вопросах воспитания и образования детей.                                                   Количество услуг психолого-педагогической, методической и консультативной помощи  ро-дителям (законным представителям) детей, а также  гражданам, желающим принять на вос-питание в свою семью детей, оставшихся без попечения родителей.2019 г-190;  2020г. 380; 2021г. - 400; 2022г. - 400</t>
  </si>
  <si>
    <t>Ожидаемые результаты:                                   Показатели оценки эффективности  (качественные, количественные)</t>
  </si>
  <si>
    <t>1.Е1.1</t>
  </si>
  <si>
    <t>1.Е1.2</t>
  </si>
  <si>
    <t>Создание для учителей предметной области "Технология" чистемы повышения квалификации на базе детских технопарков "Кванториум"</t>
  </si>
  <si>
    <t>1.Е2.1</t>
  </si>
  <si>
    <t>1.Е3.1</t>
  </si>
  <si>
    <t xml:space="preserve">сош № 2 </t>
  </si>
  <si>
    <t>1.10</t>
  </si>
  <si>
    <t>1.Е4.1</t>
  </si>
  <si>
    <t>2021</t>
  </si>
  <si>
    <t>1.Е4.2</t>
  </si>
  <si>
    <t>Размещение муниципальными образованиями Владимирской области в региональном банке эффективных педагогических практик предоставления опыта работы пилотных образовательных организаций (инновационных площадок) по внедрению в образовательную программу современных цифровых технологий"</t>
  </si>
  <si>
    <t>1.Е4.3</t>
  </si>
  <si>
    <t>Применение организациями общего образования ресурсов региональной системы электронного и дистанционного обучения  в оразовательном процессе"</t>
  </si>
  <si>
    <t>1.Е4.4</t>
  </si>
  <si>
    <t>Использование  образоват-ельными организациями Владимирской области ресурсов региональной системы оценки качества образования"</t>
  </si>
  <si>
    <t xml:space="preserve">сош №1 </t>
  </si>
  <si>
    <t>1.Е4.5</t>
  </si>
  <si>
    <t>Обновление  образова-тельнеыми организациями, расположенными на территории  Владимирской области , информационного наполнения  и функциональ-ных возможностей открытых и общедоступных инфор-мационных ресурсов с ис-пользованием ИС "Платформа сайтов"</t>
  </si>
  <si>
    <t>1.Е4.6</t>
  </si>
  <si>
    <t>Повышение квалификации работников , привлекаемых к осуществлению образовательной деятельности, с целью повышения их компетенций в области современных технологий.</t>
  </si>
  <si>
    <t>1.Е4.7</t>
  </si>
  <si>
    <t>Внедрение в основные общеобразовательные программы детей, обучающихся в общеобразовательных организациях  современных цифровых технологий.</t>
  </si>
  <si>
    <t>1.Е4.8</t>
  </si>
  <si>
    <t>Реализация программы  профессиональной переподготовки руково-дителей образовательных организаций  по внедрению и функционированию в образовательных органи-зациях целевой модели цифро-вой образовательной среды.</t>
  </si>
  <si>
    <t>1.Е5.1</t>
  </si>
  <si>
    <t>сош № 1     сош № 2</t>
  </si>
  <si>
    <t>Итого по нац проектам</t>
  </si>
  <si>
    <t>Итого</t>
  </si>
  <si>
    <t xml:space="preserve">Всего </t>
  </si>
  <si>
    <t xml:space="preserve">- к 2021 году во всех образовательных организациях города, реализующих образовательные программы общего образования, будет внедрена целевая модель цифровой образовательной среды;
- к 2022 году в региональном банке эффективных педагогиче-ских практик будет размещено представление опыта работы пилотных образовательных организаций (инновационных площадок) по внедрению в образовательную программу совре-менных цифровых технологий;
- к 2025 году в  100% организаций общего образования будут применяться ресурсы региональной системы электронного и дистанционного обучения в образовательном процессе;
- к 2025 году не менее 20% обучающихся по программам общего образования будут использовать федеральную информационно-сервисную платформу цифровой образовательной среды для "горизонтального" обучения и неформального образования, в общем числе обучающихся по указанным программам;
- к 2025 году все образовательные организации обновят информационное наполнение и функциональные возможности открытых и общедоступных информационных ресурсов;
- к 2025 году не менее 50% педагогических работников обще-го образования пройдут повышение квалификации в рамках периодической аттестации в цифровой форме с использованием информационного ресурса "одного окна" ("Современная цифровая образовательная среда в Российской Федерации") от общего числа педагогических работников общего образования, привлекаемых к образовательной деятельности;
- к 2025 году для не менее чем 500 детей, обучающихся в 50% общеобразовательных организаций, в основные общеобразова-тельные программы будут внедрены современные цифровые технологии;
- к 2025 году  не менее 90% обучающихся по программам общего образования, дополнительного образования для детей, для которых формируется цифровой образовательный профиль и индивидуальный план обучения с использованием федеральной
информационно-сервисной платформы цифровой образовательной среды, в общем числе обучающихся по указанным программам;
- к 2025 году  100%  образовательных организаций, реализую-щих программы общего образования, дополнительного
образования детей, осуществляющих образовательную
деятельность с использованием федеральной информационно-сервисной платформы цифровой образовательной среды, в об-щем числе образовательных организаций;
- к 2021 году все общеобразовательные организации, располо-женные на территории города, обеспечены Интернет-соединением со скоростью соединения не менее 100Мб/c – для образовательных организаций, расположенных в городах, 50Мб/c – для  образовательных организаций, расположенных в сельской местности и в поселках городского типа, а также гарантированным интернет трафиком
- будет доведено до 100% число зданий муниципальных образовательных организаций, в которых проведены мероприятия по благоустройству в целях соблюдения требований к воздушно-тепловому режиму, водоснабжению и канализации, в соответствии с постановлением главного государственного санитарного врача Российской Федерации от 29 декабря 2010 г. N 189 "Об утверждении СанПиН 2.4.2.2821-10 "Санитарно-эпидемиологические требования к условиям и организации обучения в общеобразовательных учреждениях";
- к 2023 году будет создано 100 новых мест в МБОУ сош № 1.
</t>
  </si>
  <si>
    <t xml:space="preserve"> доля общеобразовательных организаций, реализующих обра-зовательные программы с использованием дистанционных технологий, в общей численности общеобразовательных организаций составит не менее 100%;
 обеспечена доступность консультативной, коррекционно-развивающей и методической помощи родителям (законным представителям) детей-инвалидов, детей с ОВЗ, детей-сирот и детей, оставшихся без попечения родителей;
</t>
  </si>
  <si>
    <t xml:space="preserve">к 2025 году повысят квалификацию на базе детских технопар-ков "Кванториум", организаций, осуществляющих образова-тельную деятельность по образовательным программам среднего профессионального и высшего образования, предприятий реального сектора экономики, не менее 2 учителей предметной области "Технология";
- к 2025 году не менее 190 обучающихся будут охвачены основными и дополнительными общеобразовательными программами цифрового, естественнонаучного и гуманитарного профилей;
- к 2025 году не менее 70% обучающихся будут вовлечены в различные формы сопровождения и наставничества;
- к 2025 году 100% организаций реализуют программы началь-ного общего, основного общего и среднего общего образования в сетевой форме;
- к 2025 году в 100% общеобразовательных организаций будут реализовываться механизмы вовлечения общественно-деловых объединений и участвовать представители работодателей в принятии решений по вопросам управления развитием общеобразовательных организаций;
- к 2025 году не менее 1552 обучающихся станут участниками открытых онлайн-уроков, реализуемых с учетом опыта цикла открытых уроков "Проектория", "Уроки настоящего" или иных аналогичных по возможностям, функциям и результатам проектов, направленных на раннюю профориентацию;
- к 2025 году не менее 150   детей получат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деятельности), в том числе по итогам участия в проекте "Билет в будущее";
- к 2025 году не менее 70% детей в ЗАТО г.Радужный с ограниченными возможностями здоровья будут обучаться по дополнительным общеобразовательным программам, в том числе с использованием дистанционных технологий;
- к 2025 году число детей, охваченных деятельностью детских технопарков "Кванториум" (мобильных технопарков "Кванто-риум") и других проектов, направленных на обеспечение дос-тупности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Федерации, составит 180 человек;
</t>
  </si>
  <si>
    <t xml:space="preserve"> во всех общеобразовательных организациях будет обновлена материально-техническая база для занятий физической культурой и спортом;</t>
  </si>
  <si>
    <t>Цели: Обеспечение качества образования; обеспечение доступности дошкольного, общего и дополнительного образования, в том числе онлайн-образование; создание условий для внедрения современной и безопасной цифровой среды  города , обеспечивающей высокое качество и доступность образования всех видов уровней.</t>
  </si>
  <si>
    <r>
      <rPr>
        <b/>
        <sz val="16"/>
        <rFont val="Times New Roman"/>
        <family val="1"/>
      </rPr>
      <t>1.Е2 "Федеральныйс проект  "Успех каждого ребенка" национального проекта "Образование"</t>
    </r>
    <r>
      <rPr>
        <sz val="16"/>
        <rFont val="Times New Roman"/>
        <family val="1"/>
      </rPr>
      <t xml:space="preserve">             Создание в общеоб-разовательных организациях, расположенных в сельской местности и малых городах, условий для занятий физической культурой и спортом.</t>
    </r>
  </si>
  <si>
    <r>
      <rPr>
        <b/>
        <sz val="14"/>
        <rFont val="Times New Roman"/>
        <family val="1"/>
      </rPr>
      <t>1.Е4 "Федеральныйс проект  "Цифровая образовательная среда" " национального проекта "Образование"</t>
    </r>
    <r>
      <rPr>
        <sz val="14"/>
        <rFont val="Times New Roman"/>
        <family val="1"/>
      </rPr>
      <t xml:space="preserve"> Внедрение целевой модели цифровой образовательной среды в общеобразовательных организациях и профессиональных образовательных организациях"</t>
    </r>
  </si>
  <si>
    <t xml:space="preserve">Задачи:
1. Создание в системе общего и дополнительного образования равных возможностей для полноценного развития каждого ребенка и получения качественного образования; 
2. Повышение привлекательности работы в должности педагога в муниципальных образовательных учреждениях;
3. Включение в комплексную цифровую ифроструктуру системы образования региона.
</t>
  </si>
  <si>
    <t>1.13.</t>
  </si>
  <si>
    <t>МКУ "ГКМХ"</t>
  </si>
  <si>
    <t>Проведение смотров-конкурсов образовательных организаций. Обеспечение инновационной, опытно-экспериментальной работы в образовательных организациях (организация, проведение управлением образования педагогических совещаний , участие в августовской конференции педагогических работников, семинарах, подготовка и проведение выставок и аналитических материалов), обучение сотрудников управления образования, муниципальный конкурс мастерсвтва "Педагог года", городской фестиваль творческих работ педагог. работников образования</t>
  </si>
  <si>
    <t xml:space="preserve">       4.   Мероприятия муниципальной подпрограммы «Развитие дошкольного, общего и дополнительного образования ЗАТО г.Радужный Владимирской области»</t>
  </si>
  <si>
    <r>
      <rPr>
        <b/>
        <sz val="16"/>
        <rFont val="Times New Roman"/>
        <family val="1"/>
      </rPr>
      <t>1.Е1 "Федеральный проект  "Современная школа" национального проекта "Образование"</t>
    </r>
    <r>
      <rPr>
        <sz val="16"/>
        <rFont val="Times New Roman"/>
        <family val="1"/>
      </rPr>
      <t xml:space="preserve">            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годах"</t>
    </r>
  </si>
  <si>
    <t>МБОУ СОШ 1, СОШ 2</t>
  </si>
  <si>
    <t>2.6.</t>
  </si>
  <si>
    <t>ДОУ  № 3</t>
  </si>
  <si>
    <t>Мероприятия по подготовке  к новому учебному году</t>
  </si>
  <si>
    <t>Мероприяти по подготовке к началу учебного года муниципальных дошкольных образовательных учреждений</t>
  </si>
  <si>
    <t>Мероприяти по подготовке к началу учебного года муниципальных общеобразовательных учреждений</t>
  </si>
  <si>
    <t>3.3.</t>
  </si>
  <si>
    <t>1.2.1</t>
  </si>
  <si>
    <t>Развитие системы выявления и поддержки одаренных детей совершенствование воспитательной работы : организация и проведение городских мероприятий; участие в областных, региональных, всероссийских, международных конкурсах, фестивалях, смотрах, соревнованиях и др.</t>
  </si>
  <si>
    <t>1.14.</t>
  </si>
  <si>
    <t>1.15.</t>
  </si>
  <si>
    <t>1.16.</t>
  </si>
  <si>
    <t>Мероприятия, связанные с профилактикой и предотвращением коронавирусной инфекции</t>
  </si>
  <si>
    <t>доу 3- о/б, м/б(соф-е)</t>
  </si>
  <si>
    <t>ЦВР</t>
  </si>
  <si>
    <t>доу 5- о/б, м/б(соф-е)</t>
  </si>
  <si>
    <t>доу 6- о/б, м/б(соф-е)</t>
  </si>
  <si>
    <t>Обеспечение безопасности распространения новой коронавирусной инфекции</t>
  </si>
  <si>
    <t>Обеспечение выплат ежемесячного денежного вознаграждения за классное руководство педагогическим работникам государственных образовательных организаций субъектов РФ и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основныеобщеобразовательные программы</t>
  </si>
  <si>
    <r>
      <rPr>
        <b/>
        <sz val="13"/>
        <rFont val="Times New Roman"/>
        <family val="1"/>
      </rPr>
      <t>1.Е5 "Федеральныйс проект  "Учитель будущего" национального проекта "Образование"</t>
    </r>
    <r>
      <rPr>
        <sz val="13"/>
        <rFont val="Times New Roman"/>
        <family val="1"/>
      </rPr>
      <t xml:space="preserve">       Обеспечение возможности  для непрерывного и плано-мерного повышения квали-фикации  и прфессио-нального мастерства педагогических работникоф  в центрах оценки професси-онального мастерства и квалификации педагогов.</t>
    </r>
  </si>
  <si>
    <r>
      <rPr>
        <b/>
        <sz val="14"/>
        <rFont val="Times New Roman"/>
        <family val="1"/>
      </rPr>
      <t xml:space="preserve">1.Е3 "Федеральныйс проект  "Поддержка семей, имеющих детей" национального проекта "Образование" </t>
    </r>
    <r>
      <rPr>
        <sz val="14"/>
        <rFont val="Times New Roman"/>
        <family val="1"/>
      </rPr>
      <t>Государственная поддержка некоммерческих организаций в целях оказания психолого-педагогической, методической  и консультативной помощи гражданам, имеющих детей.</t>
    </r>
  </si>
  <si>
    <t>сош 1 - местн б-т</t>
  </si>
  <si>
    <t>сош 1--о/б, м/б(соф-е)</t>
  </si>
  <si>
    <t>сош 2 - местн б-т</t>
  </si>
  <si>
    <t>сош 2--о/б, м/б(соф-е)</t>
  </si>
  <si>
    <t>ЦВР - местн б-т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</si>
</sst>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0"/>
    <numFmt numFmtId="179" formatCode="0.0000"/>
    <numFmt numFmtId="180" formatCode="#,##0.000"/>
    <numFmt numFmtId="181" formatCode="#,##0.00000"/>
    <numFmt numFmtId="182" formatCode="0.000000"/>
    <numFmt numFmtId="183" formatCode="0.0000000"/>
    <numFmt numFmtId="184" formatCode="0.00000000"/>
    <numFmt numFmtId="185" formatCode="0.000000000"/>
    <numFmt numFmtId="186" formatCode="_-* #,##0.0_р_._-;\-* #,##0.0_р_._-;_-* &quot;-&quot;??_р_._-;_-@_-"/>
    <numFmt numFmtId="187" formatCode="_-* #,##0.000_р_._-;\-* #,##0.000_р_._-;_-* &quot;-&quot;??_р_._-;_-@_-"/>
    <numFmt numFmtId="188" formatCode="[$-FC19]d\ mmmm\ yyyy\ &quot;г.&quot;"/>
    <numFmt numFmtId="189" formatCode="_-* #,##0.0000_р_._-;\-* #,##0.0000_р_._-;_-* &quot;-&quot;??_р_._-;_-@_-"/>
    <numFmt numFmtId="190" formatCode="_-* #,##0.00000_р_._-;\-* #,##0.00000_р_._-;_-* &quot;-&quot;??_р_._-;_-@_-"/>
    <numFmt numFmtId="191" formatCode="_-* #,##0.000\ _₽_-;\-* #,##0.000\ _₽_-;_-* &quot;-&quot;???\ _₽_-;_-@_-"/>
    <numFmt numFmtId="192" formatCode="_-* #,##0.0000000\ _₽_-;\-* #,##0.0000000\ _₽_-;_-* &quot;-&quot;???????\ _₽_-;_-@_-"/>
    <numFmt numFmtId="193" formatCode="_-* #,##0.0000\ _₽_-;\-* #,##0.0000\ _₽_-;_-* &quot;-&quot;????\ _₽_-;_-@_-"/>
    <numFmt numFmtId="194" formatCode="_-* #,##0.00000\ _₽_-;\-* #,##0.00000\ _₽_-;_-* &quot;-&quot;?????\ _₽_-;_-@_-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Arial Cyr"/>
      <family val="0"/>
    </font>
    <font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color indexed="30"/>
      <name val="Times New Roman"/>
      <family val="1"/>
    </font>
    <font>
      <sz val="14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  <font>
      <sz val="14"/>
      <color rgb="FFFF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16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 wrapText="1"/>
    </xf>
    <xf numFmtId="2" fontId="3" fillId="0" borderId="10" xfId="6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center" wrapText="1"/>
    </xf>
    <xf numFmtId="178" fontId="6" fillId="0" borderId="10" xfId="0" applyNumberFormat="1" applyFont="1" applyFill="1" applyBorder="1" applyAlignment="1">
      <alignment horizontal="center" vertical="center" wrapText="1"/>
    </xf>
    <xf numFmtId="178" fontId="8" fillId="0" borderId="10" xfId="0" applyNumberFormat="1" applyFont="1" applyFill="1" applyBorder="1" applyAlignment="1">
      <alignment horizontal="center" vertical="top" wrapText="1"/>
    </xf>
    <xf numFmtId="178" fontId="4" fillId="0" borderId="10" xfId="0" applyNumberFormat="1" applyFont="1" applyFill="1" applyBorder="1" applyAlignment="1">
      <alignment vertical="top" wrapText="1"/>
    </xf>
    <xf numFmtId="178" fontId="7" fillId="0" borderId="10" xfId="60" applyNumberFormat="1" applyFont="1" applyFill="1" applyBorder="1" applyAlignment="1">
      <alignment horizontal="center" vertical="center" wrapText="1"/>
    </xf>
    <xf numFmtId="178" fontId="8" fillId="0" borderId="10" xfId="60" applyNumberFormat="1" applyFont="1" applyFill="1" applyBorder="1" applyAlignment="1">
      <alignment horizontal="center" vertical="center" wrapText="1"/>
    </xf>
    <xf numFmtId="178" fontId="3" fillId="0" borderId="10" xfId="60" applyNumberFormat="1" applyFont="1" applyFill="1" applyBorder="1" applyAlignment="1">
      <alignment horizontal="center" vertical="center" wrapText="1"/>
    </xf>
    <xf numFmtId="178" fontId="56" fillId="0" borderId="10" xfId="60" applyNumberFormat="1" applyFont="1" applyFill="1" applyBorder="1" applyAlignment="1">
      <alignment horizontal="center" vertical="center" wrapText="1"/>
    </xf>
    <xf numFmtId="178" fontId="7" fillId="0" borderId="10" xfId="60" applyNumberFormat="1" applyFont="1" applyFill="1" applyBorder="1" applyAlignment="1">
      <alignment horizontal="center" wrapText="1"/>
    </xf>
    <xf numFmtId="178" fontId="7" fillId="0" borderId="10" xfId="60" applyNumberFormat="1" applyFont="1" applyFill="1" applyBorder="1" applyAlignment="1">
      <alignment horizontal="center" vertical="top" wrapText="1"/>
    </xf>
    <xf numFmtId="178" fontId="8" fillId="0" borderId="10" xfId="60" applyNumberFormat="1" applyFont="1" applyFill="1" applyBorder="1" applyAlignment="1">
      <alignment horizontal="center" vertical="top" wrapText="1"/>
    </xf>
    <xf numFmtId="178" fontId="3" fillId="0" borderId="10" xfId="60" applyNumberFormat="1" applyFont="1" applyFill="1" applyBorder="1" applyAlignment="1">
      <alignment horizontal="center" vertical="top" wrapText="1"/>
    </xf>
    <xf numFmtId="178" fontId="9" fillId="0" borderId="10" xfId="0" applyNumberFormat="1" applyFont="1" applyFill="1" applyBorder="1" applyAlignment="1">
      <alignment vertical="center" wrapText="1"/>
    </xf>
    <xf numFmtId="178" fontId="6" fillId="0" borderId="10" xfId="0" applyNumberFormat="1" applyFont="1" applyFill="1" applyBorder="1" applyAlignment="1">
      <alignment horizontal="center" vertical="top" wrapText="1"/>
    </xf>
    <xf numFmtId="178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178" fontId="8" fillId="0" borderId="10" xfId="0" applyNumberFormat="1" applyFont="1" applyFill="1" applyBorder="1" applyAlignment="1">
      <alignment horizontal="center" vertical="center" wrapText="1"/>
    </xf>
    <xf numFmtId="178" fontId="8" fillId="0" borderId="10" xfId="0" applyNumberFormat="1" applyFont="1" applyFill="1" applyBorder="1" applyAlignment="1">
      <alignment vertical="center" wrapText="1"/>
    </xf>
    <xf numFmtId="178" fontId="7" fillId="0" borderId="10" xfId="0" applyNumberFormat="1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vertical="center" wrapText="1"/>
    </xf>
    <xf numFmtId="182" fontId="8" fillId="0" borderId="10" xfId="0" applyNumberFormat="1" applyFont="1" applyFill="1" applyBorder="1" applyAlignment="1">
      <alignment horizontal="center" vertical="center" wrapText="1"/>
    </xf>
    <xf numFmtId="182" fontId="8" fillId="0" borderId="10" xfId="0" applyNumberFormat="1" applyFont="1" applyFill="1" applyBorder="1" applyAlignment="1">
      <alignment horizontal="center" vertical="top" wrapText="1"/>
    </xf>
    <xf numFmtId="182" fontId="8" fillId="0" borderId="10" xfId="0" applyNumberFormat="1" applyFont="1" applyFill="1" applyBorder="1" applyAlignment="1">
      <alignment vertical="top" wrapText="1"/>
    </xf>
    <xf numFmtId="182" fontId="7" fillId="0" borderId="10" xfId="0" applyNumberFormat="1" applyFont="1" applyFill="1" applyBorder="1" applyAlignment="1">
      <alignment horizontal="center" vertical="top" wrapText="1"/>
    </xf>
    <xf numFmtId="182" fontId="4" fillId="0" borderId="10" xfId="0" applyNumberFormat="1" applyFont="1" applyFill="1" applyBorder="1" applyAlignment="1">
      <alignment horizontal="center" vertical="top" wrapText="1"/>
    </xf>
    <xf numFmtId="178" fontId="3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vertical="center" wrapText="1"/>
    </xf>
    <xf numFmtId="178" fontId="4" fillId="0" borderId="10" xfId="0" applyNumberFormat="1" applyFont="1" applyFill="1" applyBorder="1" applyAlignment="1">
      <alignment horizontal="center" vertical="center" wrapText="1"/>
    </xf>
    <xf numFmtId="178" fontId="7" fillId="0" borderId="10" xfId="60" applyNumberFormat="1" applyFont="1" applyFill="1" applyBorder="1" applyAlignment="1">
      <alignment horizontal="left" vertical="center" wrapText="1"/>
    </xf>
    <xf numFmtId="178" fontId="3" fillId="0" borderId="10" xfId="0" applyNumberFormat="1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top" wrapText="1"/>
    </xf>
    <xf numFmtId="178" fontId="3" fillId="0" borderId="10" xfId="0" applyNumberFormat="1" applyFont="1" applyFill="1" applyBorder="1" applyAlignment="1">
      <alignment vertical="top" wrapText="1"/>
    </xf>
    <xf numFmtId="178" fontId="4" fillId="0" borderId="10" xfId="6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1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center" wrapText="1"/>
    </xf>
    <xf numFmtId="178" fontId="9" fillId="0" borderId="10" xfId="60" applyNumberFormat="1" applyFont="1" applyFill="1" applyBorder="1" applyAlignment="1">
      <alignment horizontal="center" vertical="center" wrapText="1"/>
    </xf>
    <xf numFmtId="178" fontId="9" fillId="0" borderId="10" xfId="0" applyNumberFormat="1" applyFont="1" applyFill="1" applyBorder="1" applyAlignment="1">
      <alignment horizontal="center" vertical="center" wrapText="1"/>
    </xf>
    <xf numFmtId="178" fontId="9" fillId="0" borderId="10" xfId="0" applyNumberFormat="1" applyFont="1" applyFill="1" applyBorder="1" applyAlignment="1">
      <alignment horizontal="center" vertical="top" wrapText="1"/>
    </xf>
    <xf numFmtId="16" fontId="6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178" fontId="7" fillId="0" borderId="10" xfId="6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178" fontId="10" fillId="0" borderId="10" xfId="0" applyNumberFormat="1" applyFont="1" applyFill="1" applyBorder="1" applyAlignment="1">
      <alignment vertical="center"/>
    </xf>
    <xf numFmtId="2" fontId="4" fillId="0" borderId="10" xfId="6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top" wrapText="1"/>
    </xf>
    <xf numFmtId="178" fontId="7" fillId="0" borderId="12" xfId="0" applyNumberFormat="1" applyFont="1" applyFill="1" applyBorder="1" applyAlignment="1">
      <alignment horizontal="center" vertical="top" wrapText="1"/>
    </xf>
    <xf numFmtId="178" fontId="3" fillId="0" borderId="12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center" vertical="top" wrapText="1"/>
    </xf>
    <xf numFmtId="178" fontId="8" fillId="0" borderId="16" xfId="0" applyNumberFormat="1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left" vertical="top" wrapText="1"/>
    </xf>
    <xf numFmtId="178" fontId="8" fillId="0" borderId="18" xfId="0" applyNumberFormat="1" applyFont="1" applyFill="1" applyBorder="1" applyAlignment="1">
      <alignment horizontal="center" vertical="top" wrapText="1"/>
    </xf>
    <xf numFmtId="2" fontId="3" fillId="0" borderId="10" xfId="6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top" wrapText="1"/>
    </xf>
    <xf numFmtId="178" fontId="7" fillId="0" borderId="12" xfId="0" applyNumberFormat="1" applyFont="1" applyFill="1" applyBorder="1" applyAlignment="1">
      <alignment horizontal="center" vertical="center" wrapText="1"/>
    </xf>
    <xf numFmtId="178" fontId="8" fillId="0" borderId="19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18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9" fillId="0" borderId="20" xfId="0" applyFont="1" applyFill="1" applyBorder="1" applyAlignment="1">
      <alignment horizontal="center" vertical="top"/>
    </xf>
    <xf numFmtId="0" fontId="12" fillId="0" borderId="0" xfId="0" applyFont="1" applyFill="1" applyAlignment="1">
      <alignment/>
    </xf>
    <xf numFmtId="0" fontId="3" fillId="0" borderId="18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vertical="center"/>
    </xf>
    <xf numFmtId="171" fontId="7" fillId="0" borderId="10" xfId="6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171" fontId="7" fillId="0" borderId="12" xfId="6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top"/>
    </xf>
    <xf numFmtId="0" fontId="9" fillId="0" borderId="12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vertical="top" wrapText="1"/>
    </xf>
    <xf numFmtId="178" fontId="8" fillId="0" borderId="12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/>
    </xf>
    <xf numFmtId="178" fontId="4" fillId="0" borderId="10" xfId="0" applyNumberFormat="1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178" fontId="7" fillId="0" borderId="21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top" wrapText="1"/>
    </xf>
    <xf numFmtId="16" fontId="4" fillId="0" borderId="23" xfId="0" applyNumberFormat="1" applyFont="1" applyFill="1" applyBorder="1" applyAlignment="1">
      <alignment horizontal="center" vertical="center" wrapText="1"/>
    </xf>
    <xf numFmtId="16" fontId="4" fillId="0" borderId="24" xfId="0" applyNumberFormat="1" applyFont="1" applyFill="1" applyBorder="1" applyAlignment="1">
      <alignment horizontal="center" vertical="center" wrapText="1"/>
    </xf>
    <xf numFmtId="178" fontId="4" fillId="0" borderId="12" xfId="0" applyNumberFormat="1" applyFont="1" applyFill="1" applyBorder="1" applyAlignment="1">
      <alignment horizontal="center" vertical="center" wrapText="1"/>
    </xf>
    <xf numFmtId="178" fontId="4" fillId="0" borderId="18" xfId="0" applyNumberFormat="1" applyFont="1" applyFill="1" applyBorder="1" applyAlignment="1">
      <alignment horizontal="center" vertical="center" wrapText="1"/>
    </xf>
    <xf numFmtId="178" fontId="7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178" fontId="8" fillId="0" borderId="12" xfId="0" applyNumberFormat="1" applyFont="1" applyFill="1" applyBorder="1" applyAlignment="1">
      <alignment horizontal="center" vertical="top" wrapText="1"/>
    </xf>
    <xf numFmtId="178" fontId="7" fillId="0" borderId="18" xfId="0" applyNumberFormat="1" applyFont="1" applyFill="1" applyBorder="1" applyAlignment="1">
      <alignment horizontal="center" vertical="top" wrapText="1"/>
    </xf>
    <xf numFmtId="178" fontId="4" fillId="0" borderId="18" xfId="0" applyNumberFormat="1" applyFont="1" applyFill="1" applyBorder="1" applyAlignment="1">
      <alignment vertical="top" wrapText="1"/>
    </xf>
    <xf numFmtId="178" fontId="8" fillId="0" borderId="20" xfId="0" applyNumberFormat="1" applyFont="1" applyFill="1" applyBorder="1" applyAlignment="1">
      <alignment horizontal="center" vertical="top" wrapText="1"/>
    </xf>
    <xf numFmtId="178" fontId="7" fillId="0" borderId="19" xfId="0" applyNumberFormat="1" applyFont="1" applyFill="1" applyBorder="1" applyAlignment="1">
      <alignment horizontal="center" vertical="top" wrapText="1"/>
    </xf>
    <xf numFmtId="178" fontId="8" fillId="0" borderId="18" xfId="0" applyNumberFormat="1" applyFont="1" applyFill="1" applyBorder="1" applyAlignment="1">
      <alignment horizontal="center" vertical="center" wrapText="1"/>
    </xf>
    <xf numFmtId="178" fontId="8" fillId="0" borderId="20" xfId="0" applyNumberFormat="1" applyFont="1" applyFill="1" applyBorder="1" applyAlignment="1">
      <alignment horizontal="center" vertical="center" wrapText="1"/>
    </xf>
    <xf numFmtId="178" fontId="8" fillId="0" borderId="25" xfId="0" applyNumberFormat="1" applyFont="1" applyFill="1" applyBorder="1" applyAlignment="1">
      <alignment horizontal="center" vertical="center" wrapText="1"/>
    </xf>
    <xf numFmtId="178" fontId="8" fillId="0" borderId="19" xfId="0" applyNumberFormat="1" applyFont="1" applyFill="1" applyBorder="1" applyAlignment="1">
      <alignment horizontal="center" vertical="top" wrapText="1"/>
    </xf>
    <xf numFmtId="178" fontId="3" fillId="0" borderId="25" xfId="0" applyNumberFormat="1" applyFont="1" applyFill="1" applyBorder="1" applyAlignment="1">
      <alignment vertical="top" wrapText="1"/>
    </xf>
    <xf numFmtId="178" fontId="8" fillId="0" borderId="25" xfId="0" applyNumberFormat="1" applyFont="1" applyFill="1" applyBorder="1" applyAlignment="1">
      <alignment horizontal="center" vertical="top" wrapText="1"/>
    </xf>
    <xf numFmtId="178" fontId="7" fillId="0" borderId="10" xfId="0" applyNumberFormat="1" applyFont="1" applyFill="1" applyBorder="1" applyAlignment="1">
      <alignment vertical="center" wrapText="1"/>
    </xf>
    <xf numFmtId="178" fontId="8" fillId="0" borderId="12" xfId="60" applyNumberFormat="1" applyFont="1" applyFill="1" applyBorder="1" applyAlignment="1">
      <alignment horizontal="center" vertical="center" wrapText="1"/>
    </xf>
    <xf numFmtId="178" fontId="7" fillId="0" borderId="12" xfId="60" applyNumberFormat="1" applyFont="1" applyFill="1" applyBorder="1" applyAlignment="1">
      <alignment horizontal="center" vertical="center" wrapText="1"/>
    </xf>
    <xf numFmtId="178" fontId="7" fillId="0" borderId="12" xfId="60" applyNumberFormat="1" applyFont="1" applyFill="1" applyBorder="1" applyAlignment="1">
      <alignment horizontal="center" vertical="center"/>
    </xf>
    <xf numFmtId="178" fontId="3" fillId="0" borderId="12" xfId="60" applyNumberFormat="1" applyFont="1" applyFill="1" applyBorder="1" applyAlignment="1">
      <alignment horizontal="center" vertical="center" wrapText="1"/>
    </xf>
    <xf numFmtId="178" fontId="7" fillId="0" borderId="18" xfId="60" applyNumberFormat="1" applyFont="1" applyFill="1" applyBorder="1" applyAlignment="1">
      <alignment horizontal="center" vertical="center" wrapText="1"/>
    </xf>
    <xf numFmtId="178" fontId="8" fillId="0" borderId="18" xfId="60" applyNumberFormat="1" applyFont="1" applyFill="1" applyBorder="1" applyAlignment="1">
      <alignment horizontal="center" vertical="center" wrapText="1"/>
    </xf>
    <xf numFmtId="178" fontId="3" fillId="0" borderId="18" xfId="6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center" vertical="center" wrapText="1"/>
    </xf>
    <xf numFmtId="178" fontId="8" fillId="0" borderId="19" xfId="60" applyNumberFormat="1" applyFont="1" applyFill="1" applyBorder="1" applyAlignment="1">
      <alignment horizontal="center" vertical="center" wrapText="1"/>
    </xf>
    <xf numFmtId="178" fontId="8" fillId="0" borderId="25" xfId="6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2" fontId="3" fillId="0" borderId="11" xfId="60" applyNumberFormat="1" applyFont="1" applyFill="1" applyBorder="1" applyAlignment="1">
      <alignment vertical="center" wrapText="1"/>
    </xf>
    <xf numFmtId="0" fontId="9" fillId="0" borderId="20" xfId="0" applyFont="1" applyFill="1" applyBorder="1" applyAlignment="1">
      <alignment horizontal="center" vertical="center" wrapText="1"/>
    </xf>
    <xf numFmtId="178" fontId="7" fillId="0" borderId="21" xfId="60" applyNumberFormat="1" applyFont="1" applyFill="1" applyBorder="1" applyAlignment="1">
      <alignment horizontal="center" vertical="center" wrapText="1"/>
    </xf>
    <xf numFmtId="178" fontId="8" fillId="0" borderId="21" xfId="60" applyNumberFormat="1" applyFont="1" applyFill="1" applyBorder="1" applyAlignment="1">
      <alignment horizontal="center" vertical="center" wrapText="1"/>
    </xf>
    <xf numFmtId="178" fontId="3" fillId="0" borderId="21" xfId="6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vertical="center" wrapText="1"/>
    </xf>
    <xf numFmtId="2" fontId="4" fillId="0" borderId="11" xfId="60" applyNumberFormat="1" applyFont="1" applyFill="1" applyBorder="1" applyAlignment="1">
      <alignment horizontal="center" vertical="center" wrapText="1"/>
    </xf>
    <xf numFmtId="178" fontId="7" fillId="0" borderId="12" xfId="60" applyNumberFormat="1" applyFont="1" applyFill="1" applyBorder="1" applyAlignment="1">
      <alignment horizontal="center" vertical="top" wrapText="1"/>
    </xf>
    <xf numFmtId="178" fontId="8" fillId="0" borderId="12" xfId="60" applyNumberFormat="1" applyFont="1" applyFill="1" applyBorder="1" applyAlignment="1">
      <alignment horizontal="center" vertical="top" wrapText="1"/>
    </xf>
    <xf numFmtId="178" fontId="3" fillId="0" borderId="12" xfId="60" applyNumberFormat="1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178" fontId="7" fillId="0" borderId="18" xfId="60" applyNumberFormat="1" applyFont="1" applyFill="1" applyBorder="1" applyAlignment="1">
      <alignment horizontal="center" wrapText="1"/>
    </xf>
    <xf numFmtId="178" fontId="7" fillId="0" borderId="18" xfId="60" applyNumberFormat="1" applyFont="1" applyFill="1" applyBorder="1" applyAlignment="1">
      <alignment horizontal="center" vertical="top" wrapText="1"/>
    </xf>
    <xf numFmtId="178" fontId="8" fillId="0" borderId="18" xfId="60" applyNumberFormat="1" applyFont="1" applyFill="1" applyBorder="1" applyAlignment="1">
      <alignment horizontal="center" vertical="top" wrapText="1"/>
    </xf>
    <xf numFmtId="178" fontId="4" fillId="0" borderId="18" xfId="60" applyNumberFormat="1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vertical="top" wrapText="1"/>
    </xf>
    <xf numFmtId="178" fontId="8" fillId="0" borderId="19" xfId="60" applyNumberFormat="1" applyFont="1" applyFill="1" applyBorder="1" applyAlignment="1">
      <alignment horizontal="center" vertical="top" wrapText="1"/>
    </xf>
    <xf numFmtId="178" fontId="8" fillId="0" borderId="25" xfId="60" applyNumberFormat="1" applyFont="1" applyFill="1" applyBorder="1" applyAlignment="1">
      <alignment horizontal="center" vertical="top" wrapText="1"/>
    </xf>
    <xf numFmtId="178" fontId="7" fillId="0" borderId="12" xfId="6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top" wrapText="1"/>
    </xf>
    <xf numFmtId="178" fontId="6" fillId="0" borderId="10" xfId="60" applyNumberFormat="1" applyFont="1" applyFill="1" applyBorder="1" applyAlignment="1">
      <alignment horizontal="center" vertical="top" wrapText="1"/>
    </xf>
    <xf numFmtId="178" fontId="9" fillId="0" borderId="10" xfId="60" applyNumberFormat="1" applyFont="1" applyFill="1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8" fontId="7" fillId="0" borderId="13" xfId="0" applyNumberFormat="1" applyFont="1" applyFill="1" applyBorder="1" applyAlignment="1">
      <alignment horizontal="center" vertical="center" wrapText="1"/>
    </xf>
    <xf numFmtId="178" fontId="8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78" fontId="8" fillId="0" borderId="16" xfId="0" applyNumberFormat="1" applyFont="1" applyFill="1" applyBorder="1" applyAlignment="1">
      <alignment horizontal="center" vertical="center" wrapText="1"/>
    </xf>
    <xf numFmtId="178" fontId="4" fillId="0" borderId="16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left" vertical="top" wrapText="1"/>
    </xf>
    <xf numFmtId="178" fontId="8" fillId="0" borderId="21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178" fontId="7" fillId="0" borderId="16" xfId="0" applyNumberFormat="1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178" fontId="7" fillId="0" borderId="13" xfId="60" applyNumberFormat="1" applyFont="1" applyFill="1" applyBorder="1" applyAlignment="1">
      <alignment horizontal="center" vertical="center" wrapText="1"/>
    </xf>
    <xf numFmtId="178" fontId="3" fillId="0" borderId="13" xfId="60" applyNumberFormat="1" applyFont="1" applyFill="1" applyBorder="1" applyAlignment="1">
      <alignment horizontal="center" vertical="center" wrapText="1"/>
    </xf>
    <xf numFmtId="2" fontId="3" fillId="0" borderId="13" xfId="6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78" fontId="7" fillId="0" borderId="16" xfId="60" applyNumberFormat="1" applyFont="1" applyFill="1" applyBorder="1" applyAlignment="1">
      <alignment horizontal="center" vertical="center" wrapText="1"/>
    </xf>
    <xf numFmtId="178" fontId="3" fillId="0" borderId="16" xfId="60" applyNumberFormat="1" applyFont="1" applyFill="1" applyBorder="1" applyAlignment="1">
      <alignment horizontal="center" vertical="center" wrapText="1"/>
    </xf>
    <xf numFmtId="2" fontId="3" fillId="0" borderId="16" xfId="6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2" fontId="3" fillId="0" borderId="18" xfId="6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left" vertical="top" wrapText="1"/>
    </xf>
    <xf numFmtId="190" fontId="7" fillId="0" borderId="10" xfId="60" applyNumberFormat="1" applyFont="1" applyFill="1" applyBorder="1" applyAlignment="1">
      <alignment horizontal="center" vertical="center"/>
    </xf>
    <xf numFmtId="190" fontId="7" fillId="0" borderId="10" xfId="0" applyNumberFormat="1" applyFont="1" applyFill="1" applyBorder="1" applyAlignment="1">
      <alignment horizontal="center" vertical="center"/>
    </xf>
    <xf numFmtId="190" fontId="7" fillId="0" borderId="12" xfId="60" applyNumberFormat="1" applyFont="1" applyFill="1" applyBorder="1" applyAlignment="1">
      <alignment horizontal="center" vertical="center"/>
    </xf>
    <xf numFmtId="190" fontId="7" fillId="0" borderId="12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/>
    </xf>
    <xf numFmtId="178" fontId="3" fillId="0" borderId="0" xfId="0" applyNumberFormat="1" applyFont="1" applyFill="1" applyAlignment="1">
      <alignment/>
    </xf>
    <xf numFmtId="179" fontId="10" fillId="0" borderId="0" xfId="0" applyNumberFormat="1" applyFont="1" applyFill="1" applyAlignment="1">
      <alignment/>
    </xf>
    <xf numFmtId="176" fontId="10" fillId="0" borderId="0" xfId="0" applyNumberFormat="1" applyFont="1" applyFill="1" applyAlignment="1">
      <alignment/>
    </xf>
    <xf numFmtId="178" fontId="11" fillId="0" borderId="0" xfId="0" applyNumberFormat="1" applyFont="1" applyFill="1" applyAlignment="1">
      <alignment/>
    </xf>
    <xf numFmtId="178" fontId="10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/>
    </xf>
    <xf numFmtId="177" fontId="11" fillId="0" borderId="0" xfId="0" applyNumberFormat="1" applyFont="1" applyFill="1" applyAlignment="1">
      <alignment/>
    </xf>
    <xf numFmtId="177" fontId="10" fillId="0" borderId="0" xfId="0" applyNumberFormat="1" applyFont="1" applyFill="1" applyAlignment="1">
      <alignment/>
    </xf>
    <xf numFmtId="178" fontId="3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49" fontId="9" fillId="0" borderId="2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178" fontId="9" fillId="0" borderId="10" xfId="0" applyNumberFormat="1" applyFont="1" applyFill="1" applyBorder="1" applyAlignment="1">
      <alignment horizontal="center" vertical="center"/>
    </xf>
    <xf numFmtId="178" fontId="6" fillId="0" borderId="21" xfId="0" applyNumberFormat="1" applyFont="1" applyFill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 wrapText="1"/>
    </xf>
    <xf numFmtId="178" fontId="9" fillId="0" borderId="18" xfId="0" applyNumberFormat="1" applyFont="1" applyFill="1" applyBorder="1" applyAlignment="1">
      <alignment horizontal="center" vertical="center"/>
    </xf>
    <xf numFmtId="0" fontId="10" fillId="6" borderId="0" xfId="0" applyFont="1" applyFill="1" applyAlignment="1">
      <alignment/>
    </xf>
    <xf numFmtId="0" fontId="6" fillId="0" borderId="0" xfId="0" applyFont="1" applyFill="1" applyAlignment="1">
      <alignment vertical="center"/>
    </xf>
    <xf numFmtId="179" fontId="9" fillId="0" borderId="10" xfId="6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center" vertical="top" wrapText="1"/>
    </xf>
    <xf numFmtId="178" fontId="7" fillId="0" borderId="19" xfId="60" applyNumberFormat="1" applyFont="1" applyFill="1" applyBorder="1" applyAlignment="1">
      <alignment horizontal="center" vertical="center" wrapText="1"/>
    </xf>
    <xf numFmtId="2" fontId="3" fillId="0" borderId="12" xfId="60" applyNumberFormat="1" applyFont="1" applyFill="1" applyBorder="1" applyAlignment="1">
      <alignment horizontal="center" vertical="center" wrapText="1"/>
    </xf>
    <xf numFmtId="2" fontId="3" fillId="0" borderId="22" xfId="60" applyNumberFormat="1" applyFont="1" applyFill="1" applyBorder="1" applyAlignment="1">
      <alignment horizontal="center" vertical="center" wrapText="1"/>
    </xf>
    <xf numFmtId="178" fontId="4" fillId="0" borderId="25" xfId="60" applyNumberFormat="1" applyFont="1" applyFill="1" applyBorder="1" applyAlignment="1">
      <alignment horizontal="center" vertical="center" wrapText="1"/>
    </xf>
    <xf numFmtId="2" fontId="4" fillId="0" borderId="22" xfId="60" applyNumberFormat="1" applyFont="1" applyFill="1" applyBorder="1" applyAlignment="1">
      <alignment horizontal="center" vertical="center" wrapText="1"/>
    </xf>
    <xf numFmtId="178" fontId="3" fillId="0" borderId="19" xfId="60" applyNumberFormat="1" applyFont="1" applyFill="1" applyBorder="1" applyAlignment="1">
      <alignment horizontal="center" vertical="center" wrapText="1"/>
    </xf>
    <xf numFmtId="2" fontId="3" fillId="0" borderId="25" xfId="6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center" vertical="top" wrapText="1"/>
    </xf>
    <xf numFmtId="178" fontId="8" fillId="0" borderId="33" xfId="60" applyNumberFormat="1" applyFont="1" applyFill="1" applyBorder="1" applyAlignment="1">
      <alignment horizontal="center" vertical="top" wrapText="1"/>
    </xf>
    <xf numFmtId="178" fontId="8" fillId="0" borderId="34" xfId="60" applyNumberFormat="1" applyFont="1" applyFill="1" applyBorder="1" applyAlignment="1">
      <alignment horizontal="center" vertical="top" wrapText="1"/>
    </xf>
    <xf numFmtId="2" fontId="3" fillId="0" borderId="35" xfId="60" applyNumberFormat="1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top" wrapText="1"/>
    </xf>
    <xf numFmtId="178" fontId="8" fillId="0" borderId="37" xfId="0" applyNumberFormat="1" applyFont="1" applyFill="1" applyBorder="1" applyAlignment="1">
      <alignment horizontal="center" vertical="center" wrapText="1"/>
    </xf>
    <xf numFmtId="178" fontId="8" fillId="0" borderId="27" xfId="0" applyNumberFormat="1" applyFont="1" applyFill="1" applyBorder="1" applyAlignment="1">
      <alignment horizontal="center" vertical="center" wrapText="1"/>
    </xf>
    <xf numFmtId="178" fontId="8" fillId="0" borderId="36" xfId="0" applyNumberFormat="1" applyFont="1" applyFill="1" applyBorder="1" applyAlignment="1">
      <alignment horizontal="center" vertical="center" wrapText="1"/>
    </xf>
    <xf numFmtId="2" fontId="11" fillId="0" borderId="37" xfId="60" applyNumberFormat="1" applyFont="1" applyFill="1" applyBorder="1" applyAlignment="1">
      <alignment vertical="center" wrapText="1"/>
    </xf>
    <xf numFmtId="0" fontId="4" fillId="0" borderId="38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left" vertical="top" wrapText="1"/>
    </xf>
    <xf numFmtId="0" fontId="3" fillId="0" borderId="39" xfId="0" applyFont="1" applyFill="1" applyBorder="1" applyAlignment="1">
      <alignment horizontal="left" vertical="center" wrapText="1"/>
    </xf>
    <xf numFmtId="178" fontId="4" fillId="0" borderId="10" xfId="0" applyNumberFormat="1" applyFont="1" applyFill="1" applyBorder="1" applyAlignment="1">
      <alignment horizontal="center" vertical="top" wrapText="1"/>
    </xf>
    <xf numFmtId="178" fontId="8" fillId="0" borderId="16" xfId="0" applyNumberFormat="1" applyFont="1" applyFill="1" applyBorder="1" applyAlignment="1">
      <alignment vertical="center" wrapText="1"/>
    </xf>
    <xf numFmtId="178" fontId="4" fillId="0" borderId="16" xfId="0" applyNumberFormat="1" applyFont="1" applyFill="1" applyBorder="1" applyAlignment="1">
      <alignment vertical="center" wrapText="1"/>
    </xf>
    <xf numFmtId="178" fontId="4" fillId="0" borderId="18" xfId="0" applyNumberFormat="1" applyFont="1" applyFill="1" applyBorder="1" applyAlignment="1">
      <alignment vertical="center" wrapText="1"/>
    </xf>
    <xf numFmtId="178" fontId="7" fillId="0" borderId="16" xfId="0" applyNumberFormat="1" applyFont="1" applyFill="1" applyBorder="1" applyAlignment="1">
      <alignment horizontal="center" vertical="top" wrapText="1"/>
    </xf>
    <xf numFmtId="178" fontId="4" fillId="0" borderId="16" xfId="0" applyNumberFormat="1" applyFont="1" applyFill="1" applyBorder="1" applyAlignment="1">
      <alignment vertical="top" wrapText="1"/>
    </xf>
    <xf numFmtId="178" fontId="8" fillId="0" borderId="33" xfId="0" applyNumberFormat="1" applyFont="1" applyFill="1" applyBorder="1" applyAlignment="1">
      <alignment horizontal="center" vertical="top" wrapText="1"/>
    </xf>
    <xf numFmtId="178" fontId="3" fillId="0" borderId="34" xfId="0" applyNumberFormat="1" applyFont="1" applyFill="1" applyBorder="1" applyAlignment="1">
      <alignment vertical="top" wrapText="1"/>
    </xf>
    <xf numFmtId="178" fontId="4" fillId="0" borderId="28" xfId="0" applyNumberFormat="1" applyFont="1" applyFill="1" applyBorder="1" applyAlignment="1">
      <alignment vertical="top" wrapText="1"/>
    </xf>
    <xf numFmtId="178" fontId="4" fillId="0" borderId="26" xfId="0" applyNumberFormat="1" applyFont="1" applyFill="1" applyBorder="1" applyAlignment="1">
      <alignment vertical="top" wrapText="1"/>
    </xf>
    <xf numFmtId="178" fontId="4" fillId="0" borderId="23" xfId="0" applyNumberFormat="1" applyFont="1" applyFill="1" applyBorder="1" applyAlignment="1">
      <alignment vertical="top" wrapText="1"/>
    </xf>
    <xf numFmtId="0" fontId="9" fillId="0" borderId="35" xfId="0" applyFont="1" applyFill="1" applyBorder="1" applyAlignment="1">
      <alignment horizontal="center" vertical="top" wrapText="1"/>
    </xf>
    <xf numFmtId="171" fontId="7" fillId="0" borderId="18" xfId="60" applyFont="1" applyFill="1" applyBorder="1" applyAlignment="1">
      <alignment wrapText="1"/>
    </xf>
    <xf numFmtId="0" fontId="6" fillId="0" borderId="20" xfId="0" applyNumberFormat="1" applyFont="1" applyFill="1" applyBorder="1" applyAlignment="1">
      <alignment horizontal="center" vertical="top"/>
    </xf>
    <xf numFmtId="0" fontId="9" fillId="0" borderId="40" xfId="0" applyFont="1" applyFill="1" applyBorder="1" applyAlignment="1">
      <alignment horizontal="center" vertical="top" wrapText="1"/>
    </xf>
    <xf numFmtId="178" fontId="4" fillId="0" borderId="19" xfId="0" applyNumberFormat="1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top"/>
    </xf>
    <xf numFmtId="178" fontId="4" fillId="0" borderId="21" xfId="0" applyNumberFormat="1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178" fontId="7" fillId="0" borderId="42" xfId="0" applyNumberFormat="1" applyFont="1" applyFill="1" applyBorder="1" applyAlignment="1">
      <alignment horizontal="center" vertical="center" wrapText="1"/>
    </xf>
    <xf numFmtId="178" fontId="7" fillId="0" borderId="19" xfId="0" applyNumberFormat="1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49" fontId="6" fillId="0" borderId="32" xfId="0" applyNumberFormat="1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left" vertical="center" wrapText="1"/>
    </xf>
    <xf numFmtId="178" fontId="9" fillId="0" borderId="12" xfId="0" applyNumberFormat="1" applyFont="1" applyFill="1" applyBorder="1" applyAlignment="1">
      <alignment horizontal="center" vertical="top" wrapText="1"/>
    </xf>
    <xf numFmtId="178" fontId="6" fillId="0" borderId="12" xfId="0" applyNumberFormat="1" applyFont="1" applyFill="1" applyBorder="1" applyAlignment="1">
      <alignment horizontal="center" vertical="top" wrapText="1"/>
    </xf>
    <xf numFmtId="178" fontId="9" fillId="0" borderId="18" xfId="0" applyNumberFormat="1" applyFont="1" applyFill="1" applyBorder="1" applyAlignment="1">
      <alignment horizontal="center" vertical="top" wrapText="1"/>
    </xf>
    <xf numFmtId="178" fontId="9" fillId="0" borderId="13" xfId="0" applyNumberFormat="1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178" fontId="9" fillId="0" borderId="19" xfId="0" applyNumberFormat="1" applyFont="1" applyFill="1" applyBorder="1" applyAlignment="1">
      <alignment horizontal="center" vertical="top" wrapText="1"/>
    </xf>
    <xf numFmtId="178" fontId="9" fillId="0" borderId="25" xfId="0" applyNumberFormat="1" applyFont="1" applyFill="1" applyBorder="1" applyAlignment="1">
      <alignment horizontal="center" vertical="top" wrapText="1"/>
    </xf>
    <xf numFmtId="0" fontId="4" fillId="0" borderId="43" xfId="0" applyFont="1" applyFill="1" applyBorder="1" applyAlignment="1">
      <alignment horizontal="center" vertical="center" wrapText="1"/>
    </xf>
    <xf numFmtId="178" fontId="6" fillId="0" borderId="18" xfId="0" applyNumberFormat="1" applyFont="1" applyFill="1" applyBorder="1" applyAlignment="1">
      <alignment horizontal="center" vertical="top" wrapText="1"/>
    </xf>
    <xf numFmtId="178" fontId="4" fillId="0" borderId="12" xfId="0" applyNumberFormat="1" applyFont="1" applyFill="1" applyBorder="1" applyAlignment="1">
      <alignment vertical="center" wrapText="1"/>
    </xf>
    <xf numFmtId="178" fontId="7" fillId="0" borderId="33" xfId="0" applyNumberFormat="1" applyFont="1" applyFill="1" applyBorder="1" applyAlignment="1">
      <alignment horizontal="center" vertical="center" wrapText="1"/>
    </xf>
    <xf numFmtId="178" fontId="8" fillId="0" borderId="32" xfId="0" applyNumberFormat="1" applyFont="1" applyFill="1" applyBorder="1" applyAlignment="1">
      <alignment horizontal="center" vertical="center" wrapText="1"/>
    </xf>
    <xf numFmtId="178" fontId="8" fillId="0" borderId="33" xfId="0" applyNumberFormat="1" applyFont="1" applyFill="1" applyBorder="1" applyAlignment="1">
      <alignment horizontal="center" vertical="center" wrapText="1"/>
    </xf>
    <xf numFmtId="178" fontId="8" fillId="0" borderId="33" xfId="60" applyNumberFormat="1" applyFont="1" applyFill="1" applyBorder="1" applyAlignment="1">
      <alignment horizontal="center" vertical="center" wrapText="1"/>
    </xf>
    <xf numFmtId="178" fontId="7" fillId="0" borderId="33" xfId="0" applyNumberFormat="1" applyFont="1" applyFill="1" applyBorder="1" applyAlignment="1">
      <alignment horizontal="center" vertical="top" wrapText="1"/>
    </xf>
    <xf numFmtId="178" fontId="8" fillId="0" borderId="44" xfId="0" applyNumberFormat="1" applyFont="1" applyFill="1" applyBorder="1" applyAlignment="1">
      <alignment horizontal="center" vertical="top" wrapText="1"/>
    </xf>
    <xf numFmtId="178" fontId="4" fillId="0" borderId="12" xfId="0" applyNumberFormat="1" applyFont="1" applyFill="1" applyBorder="1" applyAlignment="1">
      <alignment vertical="top" wrapText="1"/>
    </xf>
    <xf numFmtId="178" fontId="4" fillId="0" borderId="19" xfId="0" applyNumberFormat="1" applyFont="1" applyFill="1" applyBorder="1" applyAlignment="1">
      <alignment vertical="top" wrapText="1"/>
    </xf>
    <xf numFmtId="0" fontId="3" fillId="0" borderId="25" xfId="0" applyFont="1" applyFill="1" applyBorder="1" applyAlignment="1">
      <alignment horizontal="center" vertical="top" wrapText="1"/>
    </xf>
    <xf numFmtId="178" fontId="9" fillId="0" borderId="20" xfId="0" applyNumberFormat="1" applyFont="1" applyFill="1" applyBorder="1" applyAlignment="1">
      <alignment horizontal="center" vertical="top" wrapText="1"/>
    </xf>
    <xf numFmtId="178" fontId="9" fillId="0" borderId="12" xfId="0" applyNumberFormat="1" applyFont="1" applyFill="1" applyBorder="1" applyAlignment="1">
      <alignment horizontal="center" vertical="center" wrapText="1"/>
    </xf>
    <xf numFmtId="178" fontId="9" fillId="0" borderId="12" xfId="0" applyNumberFormat="1" applyFont="1" applyFill="1" applyBorder="1" applyAlignment="1">
      <alignment vertical="center" wrapText="1"/>
    </xf>
    <xf numFmtId="178" fontId="6" fillId="0" borderId="12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16" fontId="9" fillId="0" borderId="45" xfId="0" applyNumberFormat="1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/>
    </xf>
    <xf numFmtId="178" fontId="4" fillId="0" borderId="21" xfId="60" applyNumberFormat="1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177" fontId="7" fillId="0" borderId="0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178" fontId="8" fillId="0" borderId="22" xfId="0" applyNumberFormat="1" applyFont="1" applyFill="1" applyBorder="1" applyAlignment="1">
      <alignment horizontal="center" vertical="top" wrapText="1"/>
    </xf>
    <xf numFmtId="0" fontId="9" fillId="0" borderId="27" xfId="0" applyFont="1" applyFill="1" applyBorder="1" applyAlignment="1">
      <alignment horizontal="center" vertical="top" wrapText="1"/>
    </xf>
    <xf numFmtId="178" fontId="4" fillId="0" borderId="13" xfId="0" applyNumberFormat="1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top" wrapText="1"/>
    </xf>
    <xf numFmtId="178" fontId="4" fillId="0" borderId="33" xfId="0" applyNumberFormat="1" applyFont="1" applyFill="1" applyBorder="1" applyAlignment="1">
      <alignment horizontal="center" vertical="center" wrapText="1"/>
    </xf>
    <xf numFmtId="179" fontId="3" fillId="0" borderId="0" xfId="0" applyNumberFormat="1" applyFont="1" applyFill="1" applyBorder="1" applyAlignment="1">
      <alignment horizontal="left" vertical="top" wrapText="1"/>
    </xf>
    <xf numFmtId="178" fontId="8" fillId="0" borderId="40" xfId="0" applyNumberFormat="1" applyFont="1" applyFill="1" applyBorder="1" applyAlignment="1">
      <alignment horizontal="center" vertical="top" wrapText="1"/>
    </xf>
    <xf numFmtId="178" fontId="8" fillId="0" borderId="35" xfId="0" applyNumberFormat="1" applyFont="1" applyFill="1" applyBorder="1" applyAlignment="1">
      <alignment horizontal="center" vertical="top" wrapText="1"/>
    </xf>
    <xf numFmtId="178" fontId="8" fillId="0" borderId="11" xfId="0" applyNumberFormat="1" applyFont="1" applyFill="1" applyBorder="1" applyAlignment="1">
      <alignment horizontal="center" vertical="top" wrapText="1"/>
    </xf>
    <xf numFmtId="178" fontId="8" fillId="0" borderId="29" xfId="0" applyNumberFormat="1" applyFont="1" applyFill="1" applyBorder="1" applyAlignment="1">
      <alignment horizontal="center" vertical="top" wrapText="1"/>
    </xf>
    <xf numFmtId="178" fontId="9" fillId="0" borderId="19" xfId="0" applyNumberFormat="1" applyFont="1" applyFill="1" applyBorder="1" applyAlignment="1">
      <alignment horizontal="center" vertical="center" wrapText="1"/>
    </xf>
    <xf numFmtId="0" fontId="9" fillId="0" borderId="27" xfId="0" applyNumberFormat="1" applyFont="1" applyFill="1" applyBorder="1" applyAlignment="1">
      <alignment horizontal="center" vertical="top" wrapText="1"/>
    </xf>
    <xf numFmtId="179" fontId="3" fillId="0" borderId="14" xfId="0" applyNumberFormat="1" applyFont="1" applyFill="1" applyBorder="1" applyAlignment="1">
      <alignment horizontal="center" vertical="center" wrapText="1"/>
    </xf>
    <xf numFmtId="179" fontId="3" fillId="0" borderId="15" xfId="0" applyNumberFormat="1" applyFont="1" applyFill="1" applyBorder="1" applyAlignment="1">
      <alignment horizontal="center" vertical="center" wrapText="1"/>
    </xf>
    <xf numFmtId="179" fontId="57" fillId="0" borderId="15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top" wrapText="1"/>
    </xf>
    <xf numFmtId="179" fontId="3" fillId="0" borderId="17" xfId="0" applyNumberFormat="1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top" wrapText="1"/>
    </xf>
    <xf numFmtId="0" fontId="9" fillId="0" borderId="47" xfId="0" applyFont="1" applyFill="1" applyBorder="1" applyAlignment="1">
      <alignment horizontal="center" vertical="top" wrapText="1"/>
    </xf>
    <xf numFmtId="178" fontId="9" fillId="0" borderId="16" xfId="0" applyNumberFormat="1" applyFont="1" applyFill="1" applyBorder="1" applyAlignment="1">
      <alignment horizontal="center" vertical="top" wrapText="1"/>
    </xf>
    <xf numFmtId="178" fontId="9" fillId="0" borderId="13" xfId="0" applyNumberFormat="1" applyFont="1" applyFill="1" applyBorder="1" applyAlignment="1">
      <alignment horizontal="center" vertical="center" wrapText="1"/>
    </xf>
    <xf numFmtId="178" fontId="6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178" fontId="9" fillId="0" borderId="16" xfId="0" applyNumberFormat="1" applyFont="1" applyFill="1" applyBorder="1" applyAlignment="1">
      <alignment horizontal="center" vertical="center" wrapText="1"/>
    </xf>
    <xf numFmtId="178" fontId="6" fillId="0" borderId="16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top" wrapText="1"/>
    </xf>
    <xf numFmtId="178" fontId="3" fillId="0" borderId="0" xfId="0" applyNumberFormat="1" applyFont="1" applyFill="1" applyBorder="1" applyAlignment="1">
      <alignment horizontal="right" vertical="center"/>
    </xf>
    <xf numFmtId="179" fontId="8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horizontal="center" vertical="center"/>
    </xf>
    <xf numFmtId="179" fontId="7" fillId="0" borderId="0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8" fontId="7" fillId="0" borderId="13" xfId="0" applyNumberFormat="1" applyFont="1" applyFill="1" applyBorder="1" applyAlignment="1">
      <alignment horizontal="center" vertical="top" wrapText="1"/>
    </xf>
    <xf numFmtId="178" fontId="3" fillId="0" borderId="13" xfId="0" applyNumberFormat="1" applyFont="1" applyFill="1" applyBorder="1" applyAlignment="1">
      <alignment horizontal="center" vertical="top" wrapText="1"/>
    </xf>
    <xf numFmtId="178" fontId="3" fillId="0" borderId="16" xfId="0" applyNumberFormat="1" applyFont="1" applyFill="1" applyBorder="1" applyAlignment="1">
      <alignment horizontal="center" vertical="top" wrapText="1"/>
    </xf>
    <xf numFmtId="0" fontId="3" fillId="0" borderId="46" xfId="0" applyFont="1" applyFill="1" applyBorder="1" applyAlignment="1">
      <alignment horizontal="center" vertical="top" wrapText="1"/>
    </xf>
    <xf numFmtId="0" fontId="9" fillId="0" borderId="33" xfId="0" applyFont="1" applyFill="1" applyBorder="1" applyAlignment="1">
      <alignment horizontal="center" vertical="top" wrapText="1"/>
    </xf>
    <xf numFmtId="178" fontId="3" fillId="0" borderId="33" xfId="0" applyNumberFormat="1" applyFont="1" applyFill="1" applyBorder="1" applyAlignment="1">
      <alignment horizontal="center" vertical="top" wrapText="1"/>
    </xf>
    <xf numFmtId="0" fontId="3" fillId="0" borderId="34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178" fontId="8" fillId="0" borderId="28" xfId="0" applyNumberFormat="1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178" fontId="8" fillId="0" borderId="26" xfId="0" applyNumberFormat="1" applyFont="1" applyFill="1" applyBorder="1" applyAlignment="1">
      <alignment horizontal="center" vertical="center" wrapText="1"/>
    </xf>
    <xf numFmtId="178" fontId="8" fillId="0" borderId="48" xfId="0" applyNumberFormat="1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178" fontId="4" fillId="0" borderId="12" xfId="0" applyNumberFormat="1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center" vertical="center" wrapText="1"/>
    </xf>
    <xf numFmtId="178" fontId="9" fillId="0" borderId="13" xfId="60" applyNumberFormat="1" applyFont="1" applyFill="1" applyBorder="1" applyAlignment="1">
      <alignment horizontal="center" vertical="center" wrapText="1"/>
    </xf>
    <xf numFmtId="178" fontId="6" fillId="0" borderId="13" xfId="60" applyNumberFormat="1" applyFont="1" applyFill="1" applyBorder="1" applyAlignment="1">
      <alignment horizontal="center" vertical="top" wrapText="1"/>
    </xf>
    <xf numFmtId="178" fontId="9" fillId="0" borderId="13" xfId="60" applyNumberFormat="1" applyFont="1" applyFill="1" applyBorder="1" applyAlignment="1">
      <alignment horizontal="center" vertical="top" wrapText="1"/>
    </xf>
    <xf numFmtId="2" fontId="3" fillId="0" borderId="14" xfId="60" applyNumberFormat="1" applyFont="1" applyFill="1" applyBorder="1" applyAlignment="1">
      <alignment horizontal="center" vertical="center" wrapText="1"/>
    </xf>
    <xf numFmtId="2" fontId="3" fillId="0" borderId="15" xfId="60" applyNumberFormat="1" applyFont="1" applyFill="1" applyBorder="1" applyAlignment="1">
      <alignment horizontal="center" vertical="center" wrapText="1"/>
    </xf>
    <xf numFmtId="178" fontId="9" fillId="0" borderId="16" xfId="60" applyNumberFormat="1" applyFont="1" applyFill="1" applyBorder="1" applyAlignment="1">
      <alignment horizontal="center" vertical="center" wrapText="1"/>
    </xf>
    <xf numFmtId="2" fontId="3" fillId="0" borderId="50" xfId="60" applyNumberFormat="1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vertical="top" wrapText="1"/>
    </xf>
    <xf numFmtId="0" fontId="3" fillId="0" borderId="51" xfId="0" applyFont="1" applyFill="1" applyBorder="1" applyAlignment="1">
      <alignment vertical="top" wrapText="1"/>
    </xf>
    <xf numFmtId="178" fontId="8" fillId="0" borderId="26" xfId="0" applyNumberFormat="1" applyFont="1" applyFill="1" applyBorder="1" applyAlignment="1">
      <alignment horizontal="center" vertical="top" wrapText="1"/>
    </xf>
    <xf numFmtId="178" fontId="8" fillId="0" borderId="48" xfId="0" applyNumberFormat="1" applyFont="1" applyFill="1" applyBorder="1" applyAlignment="1">
      <alignment horizontal="center" vertical="top" wrapText="1"/>
    </xf>
    <xf numFmtId="178" fontId="8" fillId="0" borderId="49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25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top" wrapText="1"/>
    </xf>
    <xf numFmtId="2" fontId="11" fillId="0" borderId="10" xfId="60" applyNumberFormat="1" applyFont="1" applyFill="1" applyBorder="1" applyAlignment="1">
      <alignment vertical="center" wrapText="1"/>
    </xf>
    <xf numFmtId="2" fontId="11" fillId="0" borderId="11" xfId="60" applyNumberFormat="1" applyFont="1" applyFill="1" applyBorder="1" applyAlignment="1">
      <alignment vertical="center" wrapText="1"/>
    </xf>
    <xf numFmtId="2" fontId="11" fillId="0" borderId="24" xfId="60" applyNumberFormat="1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left" vertical="center" wrapText="1"/>
    </xf>
    <xf numFmtId="2" fontId="11" fillId="0" borderId="35" xfId="60" applyNumberFormat="1" applyFont="1" applyFill="1" applyBorder="1" applyAlignment="1">
      <alignment vertical="center" wrapText="1"/>
    </xf>
    <xf numFmtId="2" fontId="11" fillId="0" borderId="10" xfId="60" applyNumberFormat="1" applyFont="1" applyFill="1" applyBorder="1" applyAlignment="1">
      <alignment horizontal="center" vertical="center" wrapText="1"/>
    </xf>
    <xf numFmtId="2" fontId="11" fillId="0" borderId="11" xfId="6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top" wrapText="1"/>
    </xf>
    <xf numFmtId="178" fontId="17" fillId="0" borderId="10" xfId="0" applyNumberFormat="1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178" fontId="7" fillId="0" borderId="56" xfId="60" applyNumberFormat="1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top"/>
    </xf>
    <xf numFmtId="0" fontId="9" fillId="0" borderId="57" xfId="0" applyFont="1" applyFill="1" applyBorder="1" applyAlignment="1">
      <alignment horizontal="center" vertical="top"/>
    </xf>
    <xf numFmtId="0" fontId="9" fillId="0" borderId="58" xfId="0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 wrapText="1"/>
    </xf>
    <xf numFmtId="0" fontId="6" fillId="0" borderId="6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26" xfId="0" applyNumberFormat="1" applyFont="1" applyFill="1" applyBorder="1" applyAlignment="1">
      <alignment horizontal="left" vertical="top" wrapText="1"/>
    </xf>
    <xf numFmtId="0" fontId="6" fillId="0" borderId="61" xfId="0" applyNumberFormat="1" applyFont="1" applyFill="1" applyBorder="1" applyAlignment="1">
      <alignment horizontal="left" vertical="top" wrapText="1"/>
    </xf>
    <xf numFmtId="0" fontId="6" fillId="0" borderId="11" xfId="0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left"/>
    </xf>
    <xf numFmtId="49" fontId="4" fillId="0" borderId="61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left"/>
    </xf>
    <xf numFmtId="0" fontId="10" fillId="0" borderId="12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top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top" wrapText="1"/>
    </xf>
    <xf numFmtId="0" fontId="11" fillId="0" borderId="21" xfId="0" applyNumberFormat="1" applyFont="1" applyFill="1" applyBorder="1" applyAlignment="1">
      <alignment horizontal="center" vertical="top" wrapText="1"/>
    </xf>
    <xf numFmtId="0" fontId="11" fillId="0" borderId="18" xfId="0" applyNumberFormat="1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178" fontId="8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78" fontId="3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178" fontId="8" fillId="0" borderId="10" xfId="60" applyNumberFormat="1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59" xfId="0" applyFont="1" applyFill="1" applyBorder="1" applyAlignment="1">
      <alignment horizontal="center" vertical="top" wrapText="1"/>
    </xf>
    <xf numFmtId="0" fontId="3" fillId="0" borderId="62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horizontal="center" vertical="top" wrapText="1"/>
    </xf>
    <xf numFmtId="2" fontId="3" fillId="0" borderId="23" xfId="0" applyNumberFormat="1" applyFont="1" applyFill="1" applyBorder="1" applyAlignment="1">
      <alignment horizontal="center" vertical="top" wrapText="1"/>
    </xf>
    <xf numFmtId="2" fontId="3" fillId="0" borderId="24" xfId="0" applyNumberFormat="1" applyFont="1" applyFill="1" applyBorder="1" applyAlignment="1">
      <alignment horizontal="center" vertical="top" wrapText="1"/>
    </xf>
    <xf numFmtId="2" fontId="3" fillId="0" borderId="59" xfId="0" applyNumberFormat="1" applyFont="1" applyFill="1" applyBorder="1" applyAlignment="1">
      <alignment horizontal="center" vertical="top" wrapText="1"/>
    </xf>
    <xf numFmtId="2" fontId="3" fillId="0" borderId="62" xfId="0" applyNumberFormat="1" applyFont="1" applyFill="1" applyBorder="1" applyAlignment="1">
      <alignment horizontal="center" vertical="top" wrapText="1"/>
    </xf>
    <xf numFmtId="2" fontId="3" fillId="0" borderId="28" xfId="0" applyNumberFormat="1" applyFont="1" applyFill="1" applyBorder="1" applyAlignment="1">
      <alignment horizontal="center" vertical="top" wrapText="1"/>
    </xf>
    <xf numFmtId="2" fontId="3" fillId="0" borderId="35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/>
    </xf>
    <xf numFmtId="49" fontId="6" fillId="0" borderId="21" xfId="0" applyNumberFormat="1" applyFont="1" applyFill="1" applyBorder="1" applyAlignment="1">
      <alignment horizontal="center" vertical="top"/>
    </xf>
    <xf numFmtId="49" fontId="6" fillId="0" borderId="18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3" fillId="0" borderId="62" xfId="0" applyFont="1" applyFill="1" applyBorder="1" applyAlignment="1">
      <alignment horizontal="center" vertical="center" wrapText="1"/>
    </xf>
    <xf numFmtId="178" fontId="3" fillId="0" borderId="12" xfId="0" applyNumberFormat="1" applyFont="1" applyFill="1" applyBorder="1" applyAlignment="1">
      <alignment horizontal="center" vertical="center" wrapText="1"/>
    </xf>
    <xf numFmtId="178" fontId="3" fillId="0" borderId="18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78" fontId="7" fillId="0" borderId="12" xfId="0" applyNumberFormat="1" applyFont="1" applyFill="1" applyBorder="1" applyAlignment="1">
      <alignment horizontal="center" vertical="center" wrapText="1"/>
    </xf>
    <xf numFmtId="178" fontId="7" fillId="0" borderId="18" xfId="0" applyNumberFormat="1" applyFont="1" applyFill="1" applyBorder="1" applyAlignment="1">
      <alignment horizontal="center" vertical="center" wrapText="1"/>
    </xf>
    <xf numFmtId="178" fontId="4" fillId="0" borderId="12" xfId="0" applyNumberFormat="1" applyFont="1" applyFill="1" applyBorder="1" applyAlignment="1">
      <alignment horizontal="center" vertical="center" wrapText="1"/>
    </xf>
    <xf numFmtId="178" fontId="4" fillId="0" borderId="18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16" fontId="3" fillId="0" borderId="23" xfId="0" applyNumberFormat="1" applyFont="1" applyFill="1" applyBorder="1" applyAlignment="1">
      <alignment horizontal="center" vertical="top" wrapText="1"/>
    </xf>
    <xf numFmtId="16" fontId="3" fillId="0" borderId="58" xfId="0" applyNumberFormat="1" applyFont="1" applyFill="1" applyBorder="1" applyAlignment="1">
      <alignment horizontal="center" vertical="top" wrapText="1"/>
    </xf>
    <xf numFmtId="16" fontId="3" fillId="0" borderId="59" xfId="0" applyNumberFormat="1" applyFont="1" applyFill="1" applyBorder="1" applyAlignment="1">
      <alignment horizontal="center" vertical="top" wrapText="1"/>
    </xf>
    <xf numFmtId="16" fontId="3" fillId="0" borderId="0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9" fillId="0" borderId="63" xfId="0" applyFont="1" applyFill="1" applyBorder="1" applyAlignment="1">
      <alignment horizontal="center" vertical="top" wrapText="1"/>
    </xf>
    <xf numFmtId="0" fontId="9" fillId="0" borderId="64" xfId="0" applyFont="1" applyFill="1" applyBorder="1" applyAlignment="1">
      <alignment horizontal="center" vertical="top" wrapText="1"/>
    </xf>
    <xf numFmtId="0" fontId="9" fillId="0" borderId="65" xfId="0" applyFont="1" applyFill="1" applyBorder="1" applyAlignment="1">
      <alignment horizontal="center" vertical="top" wrapText="1"/>
    </xf>
    <xf numFmtId="178" fontId="8" fillId="0" borderId="36" xfId="0" applyNumberFormat="1" applyFont="1" applyFill="1" applyBorder="1" applyAlignment="1">
      <alignment horizontal="center" vertical="top" wrapText="1"/>
    </xf>
    <xf numFmtId="178" fontId="8" fillId="0" borderId="10" xfId="0" applyNumberFormat="1" applyFont="1" applyFill="1" applyBorder="1" applyAlignment="1">
      <alignment horizontal="center" vertical="top" wrapText="1"/>
    </xf>
    <xf numFmtId="178" fontId="8" fillId="0" borderId="16" xfId="0" applyNumberFormat="1" applyFont="1" applyFill="1" applyBorder="1" applyAlignment="1">
      <alignment horizontal="center" vertical="top" wrapText="1"/>
    </xf>
    <xf numFmtId="178" fontId="8" fillId="0" borderId="14" xfId="0" applyNumberFormat="1" applyFont="1" applyFill="1" applyBorder="1" applyAlignment="1">
      <alignment horizontal="center" vertical="top" wrapText="1"/>
    </xf>
    <xf numFmtId="178" fontId="8" fillId="0" borderId="15" xfId="0" applyNumberFormat="1" applyFont="1" applyFill="1" applyBorder="1" applyAlignment="1">
      <alignment horizontal="center" vertical="top" wrapText="1"/>
    </xf>
    <xf numFmtId="178" fontId="8" fillId="0" borderId="17" xfId="0" applyNumberFormat="1" applyFont="1" applyFill="1" applyBorder="1" applyAlignment="1">
      <alignment horizontal="center" vertical="top" wrapText="1"/>
    </xf>
    <xf numFmtId="0" fontId="9" fillId="0" borderId="66" xfId="0" applyFont="1" applyFill="1" applyBorder="1" applyAlignment="1">
      <alignment horizontal="center" vertical="top" wrapText="1"/>
    </xf>
    <xf numFmtId="178" fontId="8" fillId="0" borderId="28" xfId="0" applyNumberFormat="1" applyFont="1" applyFill="1" applyBorder="1" applyAlignment="1">
      <alignment horizontal="center" vertical="top" wrapText="1"/>
    </xf>
    <xf numFmtId="0" fontId="9" fillId="0" borderId="41" xfId="0" applyFont="1" applyFill="1" applyBorder="1" applyAlignment="1">
      <alignment horizontal="center" vertical="top" wrapText="1"/>
    </xf>
    <xf numFmtId="0" fontId="9" fillId="0" borderId="57" xfId="0" applyFont="1" applyFill="1" applyBorder="1" applyAlignment="1">
      <alignment horizontal="center" vertical="top" wrapText="1"/>
    </xf>
    <xf numFmtId="178" fontId="8" fillId="0" borderId="12" xfId="0" applyNumberFormat="1" applyFont="1" applyFill="1" applyBorder="1" applyAlignment="1">
      <alignment horizontal="center" vertical="top" wrapText="1"/>
    </xf>
    <xf numFmtId="49" fontId="6" fillId="0" borderId="63" xfId="0" applyNumberFormat="1" applyFont="1" applyFill="1" applyBorder="1" applyAlignment="1">
      <alignment horizontal="center" vertical="top"/>
    </xf>
    <xf numFmtId="49" fontId="6" fillId="0" borderId="64" xfId="0" applyNumberFormat="1" applyFont="1" applyFill="1" applyBorder="1" applyAlignment="1">
      <alignment horizontal="center" vertical="top"/>
    </xf>
    <xf numFmtId="49" fontId="6" fillId="0" borderId="67" xfId="0" applyNumberFormat="1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 wrapText="1"/>
    </xf>
    <xf numFmtId="0" fontId="14" fillId="0" borderId="23" xfId="0" applyNumberFormat="1" applyFont="1" applyFill="1" applyBorder="1" applyAlignment="1">
      <alignment horizontal="center" vertical="center" wrapText="1"/>
    </xf>
    <xf numFmtId="0" fontId="14" fillId="0" borderId="58" xfId="0" applyNumberFormat="1" applyFont="1" applyFill="1" applyBorder="1" applyAlignment="1">
      <alignment horizontal="center" vertical="center" wrapText="1"/>
    </xf>
    <xf numFmtId="0" fontId="14" fillId="0" borderId="59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 wrapText="1"/>
    </xf>
    <xf numFmtId="16" fontId="5" fillId="0" borderId="12" xfId="0" applyNumberFormat="1" applyFont="1" applyFill="1" applyBorder="1" applyAlignment="1">
      <alignment horizontal="center" vertical="center"/>
    </xf>
    <xf numFmtId="16" fontId="5" fillId="0" borderId="21" xfId="0" applyNumberFormat="1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top" wrapText="1"/>
    </xf>
    <xf numFmtId="0" fontId="3" fillId="0" borderId="69" xfId="0" applyFont="1" applyFill="1" applyBorder="1" applyAlignment="1">
      <alignment horizontal="center" vertical="top" wrapText="1"/>
    </xf>
    <xf numFmtId="0" fontId="3" fillId="0" borderId="70" xfId="0" applyFont="1" applyFill="1" applyBorder="1" applyAlignment="1">
      <alignment horizontal="center" vertical="top" wrapText="1"/>
    </xf>
    <xf numFmtId="0" fontId="3" fillId="0" borderId="44" xfId="0" applyFont="1" applyFill="1" applyBorder="1" applyAlignment="1">
      <alignment horizontal="center" vertical="top" wrapText="1"/>
    </xf>
    <xf numFmtId="0" fontId="9" fillId="0" borderId="32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179" fontId="3" fillId="0" borderId="31" xfId="0" applyNumberFormat="1" applyFont="1" applyFill="1" applyBorder="1" applyAlignment="1">
      <alignment horizontal="left" vertical="top" wrapText="1"/>
    </xf>
    <xf numFmtId="0" fontId="9" fillId="0" borderId="28" xfId="0" applyFont="1" applyFill="1" applyBorder="1" applyAlignment="1">
      <alignment horizontal="center" vertical="top" wrapText="1"/>
    </xf>
    <xf numFmtId="0" fontId="0" fillId="0" borderId="60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9" fillId="0" borderId="26" xfId="0" applyFont="1" applyFill="1" applyBorder="1" applyAlignment="1">
      <alignment horizontal="left" vertical="top" wrapText="1"/>
    </xf>
    <xf numFmtId="0" fontId="0" fillId="0" borderId="61" xfId="0" applyFill="1" applyBorder="1" applyAlignment="1">
      <alignment vertical="top"/>
    </xf>
    <xf numFmtId="0" fontId="0" fillId="0" borderId="11" xfId="0" applyFill="1" applyBorder="1" applyAlignment="1">
      <alignment vertical="top"/>
    </xf>
    <xf numFmtId="0" fontId="7" fillId="0" borderId="68" xfId="0" applyFont="1" applyFill="1" applyBorder="1" applyAlignment="1">
      <alignment horizontal="center" vertical="center" wrapText="1"/>
    </xf>
    <xf numFmtId="0" fontId="7" fillId="0" borderId="71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top"/>
    </xf>
    <xf numFmtId="0" fontId="3" fillId="0" borderId="68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top"/>
    </xf>
    <xf numFmtId="0" fontId="0" fillId="0" borderId="18" xfId="0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 wrapText="1"/>
    </xf>
    <xf numFmtId="2" fontId="11" fillId="0" borderId="10" xfId="6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center" vertical="top" wrapText="1"/>
    </xf>
    <xf numFmtId="0" fontId="3" fillId="0" borderId="73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top" wrapText="1"/>
    </xf>
    <xf numFmtId="0" fontId="4" fillId="0" borderId="75" xfId="0" applyFont="1" applyFill="1" applyBorder="1" applyAlignment="1">
      <alignment horizontal="center" vertical="top" wrapText="1"/>
    </xf>
    <xf numFmtId="0" fontId="4" fillId="0" borderId="51" xfId="0" applyFont="1" applyFill="1" applyBorder="1" applyAlignment="1">
      <alignment horizontal="center" vertical="top" wrapText="1"/>
    </xf>
    <xf numFmtId="0" fontId="9" fillId="0" borderId="26" xfId="0" applyFont="1" applyFill="1" applyBorder="1" applyAlignment="1">
      <alignment horizontal="left" vertical="top"/>
    </xf>
    <xf numFmtId="0" fontId="0" fillId="0" borderId="61" xfId="0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6" fillId="0" borderId="12" xfId="0" applyNumberFormat="1" applyFont="1" applyFill="1" applyBorder="1" applyAlignment="1">
      <alignment horizontal="center" vertical="top"/>
    </xf>
    <xf numFmtId="0" fontId="6" fillId="0" borderId="21" xfId="0" applyNumberFormat="1" applyFont="1" applyFill="1" applyBorder="1" applyAlignment="1">
      <alignment horizontal="center" vertical="top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6" fillId="0" borderId="41" xfId="0" applyNumberFormat="1" applyFont="1" applyFill="1" applyBorder="1" applyAlignment="1">
      <alignment vertical="top"/>
    </xf>
    <xf numFmtId="0" fontId="6" fillId="0" borderId="57" xfId="0" applyNumberFormat="1" applyFont="1" applyFill="1" applyBorder="1" applyAlignment="1">
      <alignment vertical="top"/>
    </xf>
    <xf numFmtId="0" fontId="6" fillId="0" borderId="32" xfId="0" applyNumberFormat="1" applyFont="1" applyFill="1" applyBorder="1" applyAlignment="1">
      <alignment vertical="top"/>
    </xf>
    <xf numFmtId="0" fontId="3" fillId="0" borderId="33" xfId="0" applyFont="1" applyFill="1" applyBorder="1" applyAlignment="1">
      <alignment horizontal="center" vertical="center" wrapText="1"/>
    </xf>
    <xf numFmtId="49" fontId="6" fillId="0" borderId="41" xfId="0" applyNumberFormat="1" applyFont="1" applyFill="1" applyBorder="1" applyAlignment="1">
      <alignment horizontal="center" vertical="top"/>
    </xf>
    <xf numFmtId="49" fontId="6" fillId="0" borderId="57" xfId="0" applyNumberFormat="1" applyFont="1" applyFill="1" applyBorder="1" applyAlignment="1">
      <alignment horizontal="center" vertical="top"/>
    </xf>
    <xf numFmtId="49" fontId="6" fillId="0" borderId="32" xfId="0" applyNumberFormat="1" applyFont="1" applyFill="1" applyBorder="1" applyAlignment="1">
      <alignment horizontal="center" vertical="top"/>
    </xf>
    <xf numFmtId="0" fontId="6" fillId="0" borderId="76" xfId="0" applyFont="1" applyFill="1" applyBorder="1" applyAlignment="1">
      <alignment horizontal="left" vertical="top" wrapText="1"/>
    </xf>
    <xf numFmtId="0" fontId="6" fillId="0" borderId="69" xfId="0" applyFont="1" applyFill="1" applyBorder="1" applyAlignment="1">
      <alignment horizontal="left" vertical="top" wrapText="1"/>
    </xf>
    <xf numFmtId="0" fontId="9" fillId="0" borderId="28" xfId="0" applyFont="1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9" fillId="0" borderId="26" xfId="0" applyFont="1" applyFill="1" applyBorder="1" applyAlignment="1">
      <alignment horizontal="left" vertical="center" wrapText="1"/>
    </xf>
    <xf numFmtId="0" fontId="0" fillId="0" borderId="61" xfId="0" applyFill="1" applyBorder="1" applyAlignment="1">
      <alignment/>
    </xf>
    <xf numFmtId="0" fontId="0" fillId="0" borderId="11" xfId="0" applyFill="1" applyBorder="1" applyAlignment="1">
      <alignment/>
    </xf>
    <xf numFmtId="16" fontId="9" fillId="0" borderId="23" xfId="0" applyNumberFormat="1" applyFont="1" applyFill="1" applyBorder="1" applyAlignment="1">
      <alignment horizontal="left" vertical="center" wrapText="1"/>
    </xf>
    <xf numFmtId="0" fontId="0" fillId="0" borderId="58" xfId="0" applyFill="1" applyBorder="1" applyAlignment="1">
      <alignment/>
    </xf>
    <xf numFmtId="16" fontId="3" fillId="0" borderId="68" xfId="0" applyNumberFormat="1" applyFont="1" applyFill="1" applyBorder="1" applyAlignment="1">
      <alignment horizontal="center" vertical="top" wrapText="1"/>
    </xf>
    <xf numFmtId="16" fontId="3" fillId="0" borderId="69" xfId="0" applyNumberFormat="1" applyFont="1" applyFill="1" applyBorder="1" applyAlignment="1">
      <alignment horizontal="center" vertical="top" wrapText="1"/>
    </xf>
    <xf numFmtId="16" fontId="3" fillId="0" borderId="62" xfId="0" applyNumberFormat="1" applyFont="1" applyFill="1" applyBorder="1" applyAlignment="1">
      <alignment horizontal="center" vertical="top" wrapText="1"/>
    </xf>
    <xf numFmtId="16" fontId="3" fillId="0" borderId="70" xfId="0" applyNumberFormat="1" applyFont="1" applyFill="1" applyBorder="1" applyAlignment="1">
      <alignment horizontal="center" vertical="top" wrapText="1"/>
    </xf>
    <xf numFmtId="16" fontId="3" fillId="0" borderId="44" xfId="0" applyNumberFormat="1" applyFont="1" applyFill="1" applyBorder="1" applyAlignment="1">
      <alignment horizontal="center" vertical="top" wrapText="1"/>
    </xf>
    <xf numFmtId="0" fontId="6" fillId="0" borderId="41" xfId="0" applyFont="1" applyFill="1" applyBorder="1" applyAlignment="1">
      <alignment horizontal="center" vertical="top"/>
    </xf>
    <xf numFmtId="0" fontId="6" fillId="0" borderId="57" xfId="0" applyFont="1" applyFill="1" applyBorder="1" applyAlignment="1">
      <alignment horizontal="center" vertical="top"/>
    </xf>
    <xf numFmtId="0" fontId="6" fillId="0" borderId="32" xfId="0" applyFont="1" applyFill="1" applyBorder="1" applyAlignment="1">
      <alignment horizontal="center" vertical="top"/>
    </xf>
    <xf numFmtId="16" fontId="6" fillId="0" borderId="68" xfId="0" applyNumberFormat="1" applyFont="1" applyFill="1" applyBorder="1" applyAlignment="1">
      <alignment horizontal="center" vertical="top" wrapText="1"/>
    </xf>
    <xf numFmtId="16" fontId="6" fillId="0" borderId="71" xfId="0" applyNumberFormat="1" applyFont="1" applyFill="1" applyBorder="1" applyAlignment="1">
      <alignment horizontal="center" vertical="top" wrapText="1"/>
    </xf>
    <xf numFmtId="16" fontId="6" fillId="0" borderId="59" xfId="0" applyNumberFormat="1" applyFont="1" applyFill="1" applyBorder="1" applyAlignment="1">
      <alignment horizontal="center" vertical="top" wrapText="1"/>
    </xf>
    <xf numFmtId="16" fontId="6" fillId="0" borderId="62" xfId="0" applyNumberFormat="1" applyFont="1" applyFill="1" applyBorder="1" applyAlignment="1">
      <alignment horizontal="center" vertical="top" wrapText="1"/>
    </xf>
    <xf numFmtId="16" fontId="6" fillId="0" borderId="0" xfId="0" applyNumberFormat="1" applyFont="1" applyFill="1" applyBorder="1" applyAlignment="1">
      <alignment horizontal="center" vertical="top" wrapText="1"/>
    </xf>
    <xf numFmtId="0" fontId="9" fillId="0" borderId="28" xfId="0" applyFont="1" applyFill="1" applyBorder="1" applyAlignment="1">
      <alignment horizontal="center" vertical="top"/>
    </xf>
    <xf numFmtId="0" fontId="0" fillId="0" borderId="61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6" fillId="0" borderId="23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left" vertical="top" wrapText="1"/>
    </xf>
    <xf numFmtId="0" fontId="6" fillId="0" borderId="59" xfId="0" applyFont="1" applyFill="1" applyBorder="1" applyAlignment="1">
      <alignment horizontal="left" vertical="top" wrapText="1"/>
    </xf>
    <xf numFmtId="0" fontId="6" fillId="0" borderId="62" xfId="0" applyFont="1" applyFill="1" applyBorder="1" applyAlignment="1">
      <alignment horizontal="left" vertical="top" wrapText="1"/>
    </xf>
    <xf numFmtId="0" fontId="6" fillId="0" borderId="28" xfId="0" applyFont="1" applyFill="1" applyBorder="1" applyAlignment="1">
      <alignment horizontal="left" vertical="top" wrapText="1"/>
    </xf>
    <xf numFmtId="0" fontId="6" fillId="0" borderId="35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14" fontId="3" fillId="0" borderId="23" xfId="0" applyNumberFormat="1" applyFont="1" applyFill="1" applyBorder="1" applyAlignment="1">
      <alignment horizontal="center" vertical="center" wrapText="1"/>
    </xf>
    <xf numFmtId="14" fontId="3" fillId="0" borderId="24" xfId="0" applyNumberFormat="1" applyFont="1" applyFill="1" applyBorder="1" applyAlignment="1">
      <alignment horizontal="center" vertical="center" wrapText="1"/>
    </xf>
    <xf numFmtId="14" fontId="3" fillId="0" borderId="59" xfId="0" applyNumberFormat="1" applyFont="1" applyFill="1" applyBorder="1" applyAlignment="1">
      <alignment horizontal="center" vertical="center" wrapText="1"/>
    </xf>
    <xf numFmtId="14" fontId="3" fillId="0" borderId="62" xfId="0" applyNumberFormat="1" applyFont="1" applyFill="1" applyBorder="1" applyAlignment="1">
      <alignment horizontal="center" vertical="center" wrapText="1"/>
    </xf>
    <xf numFmtId="14" fontId="3" fillId="0" borderId="28" xfId="0" applyNumberFormat="1" applyFont="1" applyFill="1" applyBorder="1" applyAlignment="1">
      <alignment horizontal="center" vertical="center" wrapText="1"/>
    </xf>
    <xf numFmtId="14" fontId="3" fillId="0" borderId="35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59" xfId="0" applyNumberFormat="1" applyFont="1" applyFill="1" applyBorder="1" applyAlignment="1">
      <alignment horizontal="center" vertical="center" wrapText="1"/>
    </xf>
    <xf numFmtId="0" fontId="4" fillId="0" borderId="62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 wrapText="1"/>
    </xf>
    <xf numFmtId="0" fontId="4" fillId="0" borderId="35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top"/>
    </xf>
    <xf numFmtId="0" fontId="9" fillId="0" borderId="21" xfId="0" applyFont="1" applyFill="1" applyBorder="1" applyAlignment="1">
      <alignment horizontal="center" vertical="top"/>
    </xf>
    <xf numFmtId="0" fontId="9" fillId="0" borderId="18" xfId="0" applyFont="1" applyFill="1" applyBorder="1" applyAlignment="1">
      <alignment horizontal="center" vertical="top"/>
    </xf>
    <xf numFmtId="178" fontId="8" fillId="0" borderId="21" xfId="0" applyNumberFormat="1" applyFont="1" applyFill="1" applyBorder="1" applyAlignment="1">
      <alignment horizontal="center" vertical="top" wrapText="1"/>
    </xf>
    <xf numFmtId="178" fontId="8" fillId="0" borderId="56" xfId="0" applyNumberFormat="1" applyFont="1" applyFill="1" applyBorder="1" applyAlignment="1">
      <alignment horizontal="center" vertical="top" wrapText="1"/>
    </xf>
    <xf numFmtId="0" fontId="9" fillId="0" borderId="59" xfId="0" applyFont="1" applyFill="1" applyBorder="1" applyAlignment="1">
      <alignment horizontal="center" vertical="top" wrapText="1"/>
    </xf>
    <xf numFmtId="0" fontId="8" fillId="0" borderId="68" xfId="0" applyFont="1" applyFill="1" applyBorder="1" applyAlignment="1">
      <alignment horizontal="center" vertical="top" wrapText="1"/>
    </xf>
    <xf numFmtId="0" fontId="8" fillId="0" borderId="69" xfId="0" applyFont="1" applyFill="1" applyBorder="1" applyAlignment="1">
      <alignment horizontal="center" vertical="top" wrapText="1"/>
    </xf>
    <xf numFmtId="0" fontId="8" fillId="0" borderId="59" xfId="0" applyFont="1" applyFill="1" applyBorder="1" applyAlignment="1">
      <alignment horizontal="center" vertical="top" wrapText="1"/>
    </xf>
    <xf numFmtId="0" fontId="8" fillId="0" borderId="62" xfId="0" applyFont="1" applyFill="1" applyBorder="1" applyAlignment="1">
      <alignment horizontal="center" vertical="top" wrapText="1"/>
    </xf>
    <xf numFmtId="0" fontId="8" fillId="0" borderId="70" xfId="0" applyFont="1" applyFill="1" applyBorder="1" applyAlignment="1">
      <alignment horizontal="center" vertical="top" wrapText="1"/>
    </xf>
    <xf numFmtId="0" fontId="8" fillId="0" borderId="44" xfId="0" applyFont="1" applyFill="1" applyBorder="1" applyAlignment="1">
      <alignment horizontal="center" vertical="top" wrapText="1"/>
    </xf>
    <xf numFmtId="49" fontId="9" fillId="0" borderId="12" xfId="0" applyNumberFormat="1" applyFont="1" applyFill="1" applyBorder="1" applyAlignment="1">
      <alignment horizontal="center" vertical="top"/>
    </xf>
    <xf numFmtId="49" fontId="9" fillId="0" borderId="21" xfId="0" applyNumberFormat="1" applyFont="1" applyFill="1" applyBorder="1" applyAlignment="1">
      <alignment horizontal="center" vertical="top"/>
    </xf>
    <xf numFmtId="49" fontId="9" fillId="0" borderId="18" xfId="0" applyNumberFormat="1" applyFont="1" applyFill="1" applyBorder="1" applyAlignment="1">
      <alignment horizontal="center" vertical="top"/>
    </xf>
    <xf numFmtId="0" fontId="4" fillId="0" borderId="26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16" fontId="6" fillId="0" borderId="23" xfId="0" applyNumberFormat="1" applyFont="1" applyFill="1" applyBorder="1" applyAlignment="1">
      <alignment horizontal="center" vertical="top" wrapText="1"/>
    </xf>
    <xf numFmtId="16" fontId="6" fillId="0" borderId="58" xfId="0" applyNumberFormat="1" applyFont="1" applyFill="1" applyBorder="1" applyAlignment="1">
      <alignment horizontal="center" vertical="top" wrapText="1"/>
    </xf>
    <xf numFmtId="16" fontId="6" fillId="0" borderId="70" xfId="0" applyNumberFormat="1" applyFont="1" applyFill="1" applyBorder="1" applyAlignment="1">
      <alignment horizontal="center" vertical="top" wrapText="1"/>
    </xf>
    <xf numFmtId="16" fontId="6" fillId="0" borderId="72" xfId="0" applyNumberFormat="1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/>
    </xf>
    <xf numFmtId="0" fontId="6" fillId="0" borderId="62" xfId="0" applyFont="1" applyFill="1" applyBorder="1" applyAlignment="1">
      <alignment horizontal="center" vertical="top"/>
    </xf>
    <xf numFmtId="0" fontId="6" fillId="0" borderId="44" xfId="0" applyFont="1" applyFill="1" applyBorder="1" applyAlignment="1">
      <alignment horizontal="center" vertical="top"/>
    </xf>
    <xf numFmtId="16" fontId="4" fillId="0" borderId="10" xfId="0" applyNumberFormat="1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/>
    </xf>
    <xf numFmtId="0" fontId="10" fillId="0" borderId="57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3" fillId="0" borderId="7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72" xfId="0" applyFont="1" applyFill="1" applyBorder="1" applyAlignment="1">
      <alignment horizontal="center" vertical="top" wrapText="1"/>
    </xf>
    <xf numFmtId="0" fontId="6" fillId="0" borderId="63" xfId="0" applyFont="1" applyFill="1" applyBorder="1" applyAlignment="1">
      <alignment horizontal="center" vertical="top"/>
    </xf>
    <xf numFmtId="0" fontId="6" fillId="0" borderId="64" xfId="0" applyFont="1" applyFill="1" applyBorder="1" applyAlignment="1">
      <alignment horizontal="center" vertical="top"/>
    </xf>
    <xf numFmtId="0" fontId="6" fillId="0" borderId="65" xfId="0" applyFont="1" applyFill="1" applyBorder="1" applyAlignment="1">
      <alignment horizontal="center" vertical="top"/>
    </xf>
    <xf numFmtId="0" fontId="9" fillId="0" borderId="23" xfId="0" applyFont="1" applyFill="1" applyBorder="1" applyAlignment="1">
      <alignment horizontal="left" vertical="center"/>
    </xf>
    <xf numFmtId="0" fontId="5" fillId="0" borderId="58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top"/>
    </xf>
    <xf numFmtId="0" fontId="8" fillId="0" borderId="62" xfId="0" applyFont="1" applyFill="1" applyBorder="1" applyAlignment="1">
      <alignment horizontal="center" vertical="top"/>
    </xf>
    <xf numFmtId="0" fontId="8" fillId="0" borderId="72" xfId="0" applyFont="1" applyFill="1" applyBorder="1" applyAlignment="1">
      <alignment horizontal="center" vertical="top"/>
    </xf>
    <xf numFmtId="0" fontId="3" fillId="0" borderId="67" xfId="0" applyFont="1" applyFill="1" applyBorder="1" applyAlignment="1">
      <alignment horizontal="center" vertical="top" wrapText="1"/>
    </xf>
    <xf numFmtId="0" fontId="3" fillId="0" borderId="57" xfId="0" applyFont="1" applyFill="1" applyBorder="1" applyAlignment="1">
      <alignment horizontal="center" vertical="top" wrapText="1"/>
    </xf>
    <xf numFmtId="0" fontId="3" fillId="0" borderId="66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10" fillId="0" borderId="63" xfId="0" applyFont="1" applyFill="1" applyBorder="1" applyAlignment="1">
      <alignment horizontal="center"/>
    </xf>
    <xf numFmtId="0" fontId="10" fillId="0" borderId="64" xfId="0" applyFont="1" applyFill="1" applyBorder="1" applyAlignment="1">
      <alignment horizontal="center"/>
    </xf>
    <xf numFmtId="0" fontId="10" fillId="0" borderId="65" xfId="0" applyFont="1" applyFill="1" applyBorder="1" applyAlignment="1">
      <alignment horizontal="center"/>
    </xf>
    <xf numFmtId="0" fontId="9" fillId="0" borderId="56" xfId="0" applyFont="1" applyFill="1" applyBorder="1" applyAlignment="1">
      <alignment horizontal="center" vertical="top" wrapText="1"/>
    </xf>
    <xf numFmtId="0" fontId="9" fillId="0" borderId="68" xfId="0" applyFont="1" applyFill="1" applyBorder="1" applyAlignment="1">
      <alignment horizontal="center" vertical="top"/>
    </xf>
    <xf numFmtId="0" fontId="9" fillId="0" borderId="69" xfId="0" applyFont="1" applyFill="1" applyBorder="1" applyAlignment="1">
      <alignment horizontal="center" vertical="top"/>
    </xf>
    <xf numFmtId="0" fontId="9" fillId="0" borderId="59" xfId="0" applyFont="1" applyFill="1" applyBorder="1" applyAlignment="1">
      <alignment horizontal="center" vertical="top"/>
    </xf>
    <xf numFmtId="0" fontId="9" fillId="0" borderId="62" xfId="0" applyFont="1" applyFill="1" applyBorder="1" applyAlignment="1">
      <alignment horizontal="center" vertical="top"/>
    </xf>
    <xf numFmtId="0" fontId="9" fillId="0" borderId="70" xfId="0" applyFont="1" applyFill="1" applyBorder="1" applyAlignment="1">
      <alignment horizontal="center" vertical="top"/>
    </xf>
    <xf numFmtId="0" fontId="9" fillId="0" borderId="44" xfId="0" applyFont="1" applyFill="1" applyBorder="1" applyAlignment="1">
      <alignment horizontal="center" vertical="top"/>
    </xf>
    <xf numFmtId="0" fontId="3" fillId="0" borderId="74" xfId="0" applyFont="1" applyFill="1" applyBorder="1" applyAlignment="1">
      <alignment horizontal="center" vertical="top" wrapText="1"/>
    </xf>
    <xf numFmtId="0" fontId="3" fillId="0" borderId="75" xfId="0" applyFont="1" applyFill="1" applyBorder="1" applyAlignment="1">
      <alignment horizontal="center" vertical="top" wrapText="1"/>
    </xf>
    <xf numFmtId="0" fontId="3" fillId="0" borderId="51" xfId="0" applyFont="1" applyFill="1" applyBorder="1" applyAlignment="1">
      <alignment horizontal="center" vertical="top" wrapText="1"/>
    </xf>
    <xf numFmtId="0" fontId="3" fillId="0" borderId="74" xfId="0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top" wrapText="1"/>
    </xf>
    <xf numFmtId="0" fontId="3" fillId="0" borderId="78" xfId="0" applyFont="1" applyFill="1" applyBorder="1" applyAlignment="1">
      <alignment horizontal="center" vertical="top" wrapText="1"/>
    </xf>
    <xf numFmtId="0" fontId="3" fillId="0" borderId="79" xfId="0" applyFont="1" applyFill="1" applyBorder="1" applyAlignment="1">
      <alignment horizontal="center" vertical="top" wrapText="1"/>
    </xf>
    <xf numFmtId="0" fontId="0" fillId="0" borderId="35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0"/>
  <sheetViews>
    <sheetView tabSelected="1" view="pageBreakPreview" zoomScale="50" zoomScaleNormal="50" zoomScaleSheetLayoutView="50" zoomScalePageLayoutView="50" workbookViewId="0" topLeftCell="A7">
      <pane xSplit="3" ySplit="3" topLeftCell="D478" activePane="bottomRight" state="frozen"/>
      <selection pane="topLeft" activeCell="A7" sqref="A7"/>
      <selection pane="topRight" activeCell="D7" sqref="D7"/>
      <selection pane="bottomLeft" activeCell="A10" sqref="A10"/>
      <selection pane="bottomRight" activeCell="E459" sqref="E459"/>
    </sheetView>
  </sheetViews>
  <sheetFormatPr defaultColWidth="9.125" defaultRowHeight="12.75"/>
  <cols>
    <col min="1" max="1" width="8.50390625" style="75" customWidth="1"/>
    <col min="2" max="2" width="35.50390625" style="70" customWidth="1"/>
    <col min="3" max="3" width="12.625" style="70" customWidth="1"/>
    <col min="4" max="4" width="13.50390625" style="70" customWidth="1"/>
    <col min="5" max="5" width="24.625" style="70" customWidth="1"/>
    <col min="6" max="6" width="23.625" style="70" customWidth="1"/>
    <col min="7" max="7" width="22.125" style="70" customWidth="1"/>
    <col min="8" max="8" width="19.75390625" style="70" customWidth="1"/>
    <col min="9" max="9" width="21.50390625" style="70" customWidth="1"/>
    <col min="10" max="10" width="23.50390625" style="70" customWidth="1"/>
    <col min="11" max="11" width="15.25390625" style="70" customWidth="1"/>
    <col min="12" max="12" width="20.875" style="77" customWidth="1"/>
    <col min="13" max="13" width="24.25390625" style="76" customWidth="1"/>
    <col min="14" max="16384" width="9.125" style="50" customWidth="1"/>
  </cols>
  <sheetData>
    <row r="1" spans="10:13" ht="27" customHeight="1">
      <c r="J1" s="415" t="s">
        <v>156</v>
      </c>
      <c r="K1" s="415"/>
      <c r="L1" s="415"/>
      <c r="M1" s="415"/>
    </row>
    <row r="2" spans="10:13" ht="36" customHeight="1">
      <c r="J2" s="416" t="s">
        <v>157</v>
      </c>
      <c r="K2" s="416"/>
      <c r="L2" s="416"/>
      <c r="M2" s="416"/>
    </row>
    <row r="3" spans="1:13" s="70" customFormat="1" ht="18.75" customHeight="1">
      <c r="A3" s="75"/>
      <c r="B3" s="436" t="s">
        <v>254</v>
      </c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76"/>
    </row>
    <row r="4" spans="1:13" s="70" customFormat="1" ht="18.75">
      <c r="A4" s="75"/>
      <c r="J4" s="70" t="s">
        <v>16</v>
      </c>
      <c r="L4" s="77"/>
      <c r="M4" s="76"/>
    </row>
    <row r="5" spans="1:13" s="70" customFormat="1" ht="28.5" customHeight="1">
      <c r="A5" s="437"/>
      <c r="B5" s="431" t="s">
        <v>8</v>
      </c>
      <c r="C5" s="431"/>
      <c r="D5" s="431" t="s">
        <v>9</v>
      </c>
      <c r="E5" s="431" t="s">
        <v>0</v>
      </c>
      <c r="F5" s="431" t="s">
        <v>13</v>
      </c>
      <c r="G5" s="431"/>
      <c r="H5" s="431"/>
      <c r="I5" s="431"/>
      <c r="J5" s="431"/>
      <c r="K5" s="431" t="s">
        <v>14</v>
      </c>
      <c r="L5" s="431" t="s">
        <v>1</v>
      </c>
      <c r="M5" s="451" t="s">
        <v>213</v>
      </c>
    </row>
    <row r="6" spans="1:13" s="70" customFormat="1" ht="28.5" customHeight="1">
      <c r="A6" s="437"/>
      <c r="B6" s="431"/>
      <c r="C6" s="431"/>
      <c r="D6" s="431"/>
      <c r="E6" s="431"/>
      <c r="F6" s="454" t="s">
        <v>11</v>
      </c>
      <c r="G6" s="431" t="s">
        <v>93</v>
      </c>
      <c r="H6" s="431"/>
      <c r="I6" s="431"/>
      <c r="J6" s="431"/>
      <c r="K6" s="431"/>
      <c r="L6" s="431"/>
      <c r="M6" s="452"/>
    </row>
    <row r="7" spans="1:13" s="70" customFormat="1" ht="28.5" customHeight="1">
      <c r="A7" s="437"/>
      <c r="B7" s="431"/>
      <c r="C7" s="431"/>
      <c r="D7" s="431"/>
      <c r="E7" s="431"/>
      <c r="F7" s="454"/>
      <c r="G7" s="431" t="s">
        <v>96</v>
      </c>
      <c r="H7" s="431"/>
      <c r="I7" s="431"/>
      <c r="J7" s="431" t="s">
        <v>92</v>
      </c>
      <c r="K7" s="431"/>
      <c r="L7" s="431"/>
      <c r="M7" s="452"/>
    </row>
    <row r="8" spans="1:13" s="70" customFormat="1" ht="28.5" customHeight="1">
      <c r="A8" s="437"/>
      <c r="B8" s="431"/>
      <c r="C8" s="431"/>
      <c r="D8" s="431"/>
      <c r="E8" s="431"/>
      <c r="F8" s="454"/>
      <c r="G8" s="431" t="s">
        <v>94</v>
      </c>
      <c r="H8" s="431" t="s">
        <v>95</v>
      </c>
      <c r="I8" s="431"/>
      <c r="J8" s="431"/>
      <c r="K8" s="431"/>
      <c r="L8" s="431"/>
      <c r="M8" s="452"/>
    </row>
    <row r="9" spans="1:13" s="70" customFormat="1" ht="73.5" customHeight="1">
      <c r="A9" s="437"/>
      <c r="B9" s="431"/>
      <c r="C9" s="431"/>
      <c r="D9" s="431"/>
      <c r="E9" s="431"/>
      <c r="F9" s="454"/>
      <c r="G9" s="431"/>
      <c r="H9" s="4" t="s">
        <v>97</v>
      </c>
      <c r="I9" s="4" t="s">
        <v>98</v>
      </c>
      <c r="J9" s="431"/>
      <c r="K9" s="431"/>
      <c r="L9" s="431"/>
      <c r="M9" s="453"/>
    </row>
    <row r="10" spans="1:13" s="79" customFormat="1" ht="20.25">
      <c r="A10" s="78">
        <v>1</v>
      </c>
      <c r="B10" s="450">
        <v>2</v>
      </c>
      <c r="C10" s="450"/>
      <c r="D10" s="7">
        <v>3</v>
      </c>
      <c r="E10" s="7">
        <v>4</v>
      </c>
      <c r="F10" s="7">
        <v>5</v>
      </c>
      <c r="G10" s="7">
        <v>6</v>
      </c>
      <c r="H10" s="7">
        <v>7</v>
      </c>
      <c r="I10" s="7">
        <v>8</v>
      </c>
      <c r="J10" s="7">
        <v>9</v>
      </c>
      <c r="K10" s="7">
        <v>10</v>
      </c>
      <c r="L10" s="7">
        <v>11</v>
      </c>
      <c r="M10" s="38">
        <v>12</v>
      </c>
    </row>
    <row r="11" spans="1:13" s="221" customFormat="1" ht="24" customHeight="1">
      <c r="A11" s="429" t="s">
        <v>25</v>
      </c>
      <c r="B11" s="434"/>
      <c r="C11" s="434"/>
      <c r="D11" s="434"/>
      <c r="E11" s="434"/>
      <c r="F11" s="434"/>
      <c r="G11" s="434"/>
      <c r="H11" s="434"/>
      <c r="I11" s="434"/>
      <c r="J11" s="434"/>
      <c r="K11" s="434"/>
      <c r="L11" s="434"/>
      <c r="M11" s="435"/>
    </row>
    <row r="12" spans="1:13" s="77" customFormat="1" ht="51" customHeight="1">
      <c r="A12" s="444" t="s">
        <v>247</v>
      </c>
      <c r="B12" s="445"/>
      <c r="C12" s="445"/>
      <c r="D12" s="445"/>
      <c r="E12" s="445"/>
      <c r="F12" s="445"/>
      <c r="G12" s="445"/>
      <c r="H12" s="445"/>
      <c r="I12" s="445"/>
      <c r="J12" s="445"/>
      <c r="K12" s="445"/>
      <c r="L12" s="445"/>
      <c r="M12" s="446"/>
    </row>
    <row r="13" spans="1:13" s="79" customFormat="1" ht="95.25" customHeight="1">
      <c r="A13" s="447" t="s">
        <v>250</v>
      </c>
      <c r="B13" s="448"/>
      <c r="C13" s="448"/>
      <c r="D13" s="448"/>
      <c r="E13" s="448"/>
      <c r="F13" s="448"/>
      <c r="G13" s="448"/>
      <c r="H13" s="448"/>
      <c r="I13" s="448"/>
      <c r="J13" s="448"/>
      <c r="K13" s="448"/>
      <c r="L13" s="448"/>
      <c r="M13" s="449"/>
    </row>
    <row r="14" spans="1:13" s="79" customFormat="1" ht="21" thickBot="1">
      <c r="A14" s="456"/>
      <c r="B14" s="457"/>
      <c r="C14" s="457"/>
      <c r="D14" s="457"/>
      <c r="E14" s="457"/>
      <c r="F14" s="457"/>
      <c r="G14" s="457"/>
      <c r="H14" s="457"/>
      <c r="I14" s="457"/>
      <c r="J14" s="457"/>
      <c r="K14" s="457"/>
      <c r="L14" s="457"/>
      <c r="M14" s="458"/>
    </row>
    <row r="15" spans="1:13" s="79" customFormat="1" ht="70.5" customHeight="1" thickBot="1">
      <c r="A15" s="426" t="s">
        <v>214</v>
      </c>
      <c r="B15" s="417" t="s">
        <v>255</v>
      </c>
      <c r="C15" s="171" t="s">
        <v>94</v>
      </c>
      <c r="D15" s="171">
        <v>2020</v>
      </c>
      <c r="E15" s="164">
        <f aca="true" t="shared" si="0" ref="E15:J15">E17+E18+E23+E24</f>
        <v>1128.3</v>
      </c>
      <c r="F15" s="164">
        <f t="shared" si="0"/>
        <v>0</v>
      </c>
      <c r="G15" s="164">
        <f t="shared" si="0"/>
        <v>1117</v>
      </c>
      <c r="H15" s="164">
        <f t="shared" si="0"/>
        <v>1094.7</v>
      </c>
      <c r="I15" s="164">
        <f t="shared" si="0"/>
        <v>22.3</v>
      </c>
      <c r="J15" s="164">
        <f t="shared" si="0"/>
        <v>11.299999999999997</v>
      </c>
      <c r="K15" s="164">
        <f>K17+K18+K23+K24</f>
        <v>0</v>
      </c>
      <c r="L15" s="171" t="s">
        <v>43</v>
      </c>
      <c r="M15" s="459" t="s">
        <v>245</v>
      </c>
    </row>
    <row r="16" spans="1:13" s="79" customFormat="1" ht="70.5" customHeight="1" thickBot="1">
      <c r="A16" s="427"/>
      <c r="B16" s="418"/>
      <c r="C16" s="171" t="s">
        <v>242</v>
      </c>
      <c r="D16" s="171">
        <v>2021</v>
      </c>
      <c r="E16" s="164">
        <f aca="true" t="shared" si="1" ref="E16:J16">E19+E20</f>
        <v>1138.3000000000002</v>
      </c>
      <c r="F16" s="164">
        <f t="shared" si="1"/>
        <v>0</v>
      </c>
      <c r="G16" s="164">
        <f t="shared" si="1"/>
        <v>1126.9</v>
      </c>
      <c r="H16" s="164">
        <f t="shared" si="1"/>
        <v>1104.4</v>
      </c>
      <c r="I16" s="164">
        <f t="shared" si="1"/>
        <v>22.5</v>
      </c>
      <c r="J16" s="164">
        <f t="shared" si="1"/>
        <v>11.4</v>
      </c>
      <c r="K16" s="164">
        <f>K19+K20</f>
        <v>0</v>
      </c>
      <c r="L16" s="171"/>
      <c r="M16" s="460"/>
    </row>
    <row r="17" spans="1:13" s="79" customFormat="1" ht="57" customHeight="1">
      <c r="A17" s="427"/>
      <c r="B17" s="418"/>
      <c r="C17" s="161" t="s">
        <v>42</v>
      </c>
      <c r="D17" s="161">
        <v>2020</v>
      </c>
      <c r="E17" s="163">
        <f aca="true" t="shared" si="2" ref="E17:E24">F17+G17+J17+K17</f>
        <v>0</v>
      </c>
      <c r="F17" s="164"/>
      <c r="G17" s="163">
        <f aca="true" t="shared" si="3" ref="G17:G24">H17+I17</f>
        <v>0</v>
      </c>
      <c r="H17" s="163">
        <f>557-557</f>
        <v>0</v>
      </c>
      <c r="I17" s="163">
        <v>0</v>
      </c>
      <c r="J17" s="163">
        <f>83.33-83.33</f>
        <v>0</v>
      </c>
      <c r="K17" s="206">
        <v>0</v>
      </c>
      <c r="L17" s="161" t="s">
        <v>42</v>
      </c>
      <c r="M17" s="460"/>
    </row>
    <row r="18" spans="1:13" s="79" customFormat="1" ht="52.5" customHeight="1" thickBot="1">
      <c r="A18" s="427"/>
      <c r="B18" s="418"/>
      <c r="C18" s="162" t="s">
        <v>43</v>
      </c>
      <c r="D18" s="162">
        <v>2020</v>
      </c>
      <c r="E18" s="26">
        <f t="shared" si="2"/>
        <v>1128.3</v>
      </c>
      <c r="F18" s="24"/>
      <c r="G18" s="26">
        <f t="shared" si="3"/>
        <v>1117</v>
      </c>
      <c r="H18" s="26">
        <v>1094.7</v>
      </c>
      <c r="I18" s="26">
        <v>22.3</v>
      </c>
      <c r="J18" s="26">
        <f>83.678-72.378</f>
        <v>11.299999999999997</v>
      </c>
      <c r="K18" s="33">
        <v>0</v>
      </c>
      <c r="L18" s="162" t="s">
        <v>43</v>
      </c>
      <c r="M18" s="460"/>
    </row>
    <row r="19" spans="1:13" s="79" customFormat="1" ht="60" customHeight="1">
      <c r="A19" s="427"/>
      <c r="B19" s="418"/>
      <c r="C19" s="161" t="s">
        <v>42</v>
      </c>
      <c r="D19" s="162">
        <v>2021</v>
      </c>
      <c r="E19" s="26">
        <f t="shared" si="2"/>
        <v>1138.3000000000002</v>
      </c>
      <c r="F19" s="24"/>
      <c r="G19" s="26">
        <f t="shared" si="3"/>
        <v>1126.9</v>
      </c>
      <c r="H19" s="26">
        <f>561.9+565-22.5</f>
        <v>1104.4</v>
      </c>
      <c r="I19" s="26">
        <v>22.5</v>
      </c>
      <c r="J19" s="26">
        <v>11.4</v>
      </c>
      <c r="K19" s="33">
        <v>0</v>
      </c>
      <c r="L19" s="161" t="s">
        <v>42</v>
      </c>
      <c r="M19" s="460"/>
    </row>
    <row r="20" spans="1:13" s="79" customFormat="1" ht="48.75" customHeight="1">
      <c r="A20" s="428"/>
      <c r="B20" s="418"/>
      <c r="C20" s="162" t="s">
        <v>43</v>
      </c>
      <c r="D20" s="162">
        <v>2021</v>
      </c>
      <c r="E20" s="26">
        <f t="shared" si="2"/>
        <v>0</v>
      </c>
      <c r="F20" s="24"/>
      <c r="G20" s="26">
        <f t="shared" si="3"/>
        <v>0</v>
      </c>
      <c r="H20" s="26">
        <f>565-565</f>
        <v>0</v>
      </c>
      <c r="I20" s="26">
        <v>0</v>
      </c>
      <c r="J20" s="26">
        <v>0</v>
      </c>
      <c r="K20" s="33">
        <v>0</v>
      </c>
      <c r="L20" s="162" t="s">
        <v>43</v>
      </c>
      <c r="M20" s="460"/>
    </row>
    <row r="21" spans="1:13" s="79" customFormat="1" ht="48.75" customHeight="1">
      <c r="A21" s="360"/>
      <c r="B21" s="418"/>
      <c r="C21" s="162" t="s">
        <v>43</v>
      </c>
      <c r="D21" s="162">
        <v>2022</v>
      </c>
      <c r="E21" s="26">
        <f t="shared" si="2"/>
        <v>0</v>
      </c>
      <c r="F21" s="24"/>
      <c r="G21" s="26">
        <f t="shared" si="3"/>
        <v>0</v>
      </c>
      <c r="H21" s="26">
        <v>0</v>
      </c>
      <c r="I21" s="26">
        <v>0</v>
      </c>
      <c r="J21" s="26">
        <v>0</v>
      </c>
      <c r="K21" s="33">
        <v>0</v>
      </c>
      <c r="L21" s="410"/>
      <c r="M21" s="460"/>
    </row>
    <row r="22" spans="1:13" s="79" customFormat="1" ht="48.75" customHeight="1" thickBot="1">
      <c r="A22" s="360"/>
      <c r="B22" s="419"/>
      <c r="C22" s="162" t="s">
        <v>43</v>
      </c>
      <c r="D22" s="162">
        <v>2023</v>
      </c>
      <c r="E22" s="26">
        <f t="shared" si="2"/>
        <v>0</v>
      </c>
      <c r="F22" s="24"/>
      <c r="G22" s="26">
        <f t="shared" si="3"/>
        <v>0</v>
      </c>
      <c r="H22" s="26">
        <v>0</v>
      </c>
      <c r="I22" s="26">
        <v>0</v>
      </c>
      <c r="J22" s="26">
        <v>0</v>
      </c>
      <c r="K22" s="33">
        <v>0</v>
      </c>
      <c r="L22" s="410"/>
      <c r="M22" s="460"/>
    </row>
    <row r="23" spans="1:13" s="79" customFormat="1" ht="69" customHeight="1">
      <c r="A23" s="426" t="s">
        <v>215</v>
      </c>
      <c r="B23" s="420" t="s">
        <v>216</v>
      </c>
      <c r="C23" s="161" t="s">
        <v>42</v>
      </c>
      <c r="D23" s="1">
        <v>2020</v>
      </c>
      <c r="E23" s="26">
        <f t="shared" si="2"/>
        <v>0</v>
      </c>
      <c r="F23" s="7"/>
      <c r="G23" s="26">
        <f t="shared" si="3"/>
        <v>0</v>
      </c>
      <c r="H23" s="9">
        <v>0</v>
      </c>
      <c r="I23" s="9">
        <v>0</v>
      </c>
      <c r="J23" s="9">
        <v>0</v>
      </c>
      <c r="K23" s="9">
        <v>0</v>
      </c>
      <c r="L23" s="161" t="s">
        <v>42</v>
      </c>
      <c r="M23" s="460"/>
    </row>
    <row r="24" spans="1:13" s="79" customFormat="1" ht="81" customHeight="1" thickBot="1">
      <c r="A24" s="428"/>
      <c r="B24" s="422"/>
      <c r="C24" s="162" t="s">
        <v>43</v>
      </c>
      <c r="D24" s="1">
        <v>2020</v>
      </c>
      <c r="E24" s="26">
        <f t="shared" si="2"/>
        <v>0</v>
      </c>
      <c r="F24" s="7"/>
      <c r="G24" s="26">
        <f t="shared" si="3"/>
        <v>0</v>
      </c>
      <c r="H24" s="9">
        <v>0</v>
      </c>
      <c r="I24" s="9">
        <v>0</v>
      </c>
      <c r="J24" s="9">
        <v>0</v>
      </c>
      <c r="K24" s="9">
        <v>0</v>
      </c>
      <c r="L24" s="162" t="s">
        <v>43</v>
      </c>
      <c r="M24" s="461"/>
    </row>
    <row r="25" spans="1:13" s="79" customFormat="1" ht="30.75" customHeight="1">
      <c r="A25" s="426" t="s">
        <v>217</v>
      </c>
      <c r="B25" s="420" t="s">
        <v>248</v>
      </c>
      <c r="C25" s="207"/>
      <c r="D25" s="171">
        <v>2021</v>
      </c>
      <c r="E25" s="120">
        <f aca="true" t="shared" si="4" ref="E25:K25">E26</f>
        <v>1149.4</v>
      </c>
      <c r="F25" s="120">
        <f t="shared" si="4"/>
        <v>0</v>
      </c>
      <c r="G25" s="120">
        <f t="shared" si="4"/>
        <v>1000</v>
      </c>
      <c r="H25" s="120">
        <f t="shared" si="4"/>
        <v>890</v>
      </c>
      <c r="I25" s="120">
        <f t="shared" si="4"/>
        <v>110</v>
      </c>
      <c r="J25" s="120">
        <f t="shared" si="4"/>
        <v>149.4</v>
      </c>
      <c r="K25" s="120">
        <f t="shared" si="4"/>
        <v>0</v>
      </c>
      <c r="L25" s="73"/>
      <c r="M25" s="455" t="s">
        <v>246</v>
      </c>
    </row>
    <row r="26" spans="1:13" s="79" customFormat="1" ht="65.25" customHeight="1">
      <c r="A26" s="427"/>
      <c r="B26" s="421"/>
      <c r="C26" s="162" t="s">
        <v>43</v>
      </c>
      <c r="D26" s="4">
        <v>2021</v>
      </c>
      <c r="E26" s="26">
        <f>F26+G26+J26+K26</f>
        <v>1149.4</v>
      </c>
      <c r="F26" s="24"/>
      <c r="G26" s="26">
        <f>H26+I26</f>
        <v>1000</v>
      </c>
      <c r="H26" s="26">
        <f>1000-110</f>
        <v>890</v>
      </c>
      <c r="I26" s="26">
        <v>110</v>
      </c>
      <c r="J26" s="26">
        <v>149.4</v>
      </c>
      <c r="K26" s="35"/>
      <c r="L26" s="162" t="s">
        <v>43</v>
      </c>
      <c r="M26" s="424"/>
    </row>
    <row r="27" spans="1:13" s="79" customFormat="1" ht="33" customHeight="1">
      <c r="A27" s="427"/>
      <c r="B27" s="421"/>
      <c r="C27" s="208"/>
      <c r="D27" s="98">
        <v>2022</v>
      </c>
      <c r="E27" s="24">
        <f aca="true" t="shared" si="5" ref="E27:K27">E28</f>
        <v>1092</v>
      </c>
      <c r="F27" s="24">
        <f t="shared" si="5"/>
        <v>0</v>
      </c>
      <c r="G27" s="24">
        <f t="shared" si="5"/>
        <v>950</v>
      </c>
      <c r="H27" s="24">
        <f t="shared" si="5"/>
        <v>836</v>
      </c>
      <c r="I27" s="24">
        <f t="shared" si="5"/>
        <v>114</v>
      </c>
      <c r="J27" s="24">
        <f t="shared" si="5"/>
        <v>142</v>
      </c>
      <c r="K27" s="24">
        <f t="shared" si="5"/>
        <v>0</v>
      </c>
      <c r="L27" s="208"/>
      <c r="M27" s="424"/>
    </row>
    <row r="28" spans="1:13" s="79" customFormat="1" ht="64.5" customHeight="1" thickBot="1">
      <c r="A28" s="428"/>
      <c r="B28" s="421"/>
      <c r="C28" s="172" t="s">
        <v>42</v>
      </c>
      <c r="D28" s="4">
        <v>2022</v>
      </c>
      <c r="E28" s="173">
        <f>F28+G28+J28+K28</f>
        <v>1092</v>
      </c>
      <c r="F28" s="166"/>
      <c r="G28" s="173">
        <f>H28+I28</f>
        <v>950</v>
      </c>
      <c r="H28" s="173">
        <f>950-114</f>
        <v>836</v>
      </c>
      <c r="I28" s="173">
        <v>114</v>
      </c>
      <c r="J28" s="173">
        <v>142</v>
      </c>
      <c r="K28" s="167">
        <v>0</v>
      </c>
      <c r="L28" s="172" t="s">
        <v>42</v>
      </c>
      <c r="M28" s="425"/>
    </row>
    <row r="29" spans="1:13" s="79" customFormat="1" ht="64.5" customHeight="1" thickBot="1">
      <c r="A29" s="360"/>
      <c r="B29" s="422"/>
      <c r="C29" s="362"/>
      <c r="D29" s="4">
        <v>2023</v>
      </c>
      <c r="E29" s="173">
        <f>F29+G29+J29+K29</f>
        <v>0</v>
      </c>
      <c r="F29" s="97"/>
      <c r="G29" s="173">
        <f>H29+I29</f>
        <v>0</v>
      </c>
      <c r="H29" s="68">
        <v>0</v>
      </c>
      <c r="I29" s="68">
        <v>0</v>
      </c>
      <c r="J29" s="68">
        <v>0</v>
      </c>
      <c r="K29" s="106">
        <v>0</v>
      </c>
      <c r="L29" s="362"/>
      <c r="M29" s="224"/>
    </row>
    <row r="30" spans="1:13" s="79" customFormat="1" ht="105" customHeight="1">
      <c r="A30" s="426" t="s">
        <v>218</v>
      </c>
      <c r="B30" s="423" t="s">
        <v>276</v>
      </c>
      <c r="C30" s="1" t="s">
        <v>42</v>
      </c>
      <c r="D30" s="4">
        <v>2021</v>
      </c>
      <c r="E30" s="46">
        <f>F30+G30+J30+K30</f>
        <v>0</v>
      </c>
      <c r="F30" s="46">
        <v>0</v>
      </c>
      <c r="G30" s="46">
        <f>H30+I30</f>
        <v>0</v>
      </c>
      <c r="H30" s="46">
        <v>0</v>
      </c>
      <c r="I30" s="46">
        <v>0</v>
      </c>
      <c r="J30" s="46">
        <v>0</v>
      </c>
      <c r="K30" s="46">
        <v>0</v>
      </c>
      <c r="L30" s="1" t="s">
        <v>42</v>
      </c>
      <c r="M30" s="473" t="s">
        <v>244</v>
      </c>
    </row>
    <row r="31" spans="1:13" s="79" customFormat="1" ht="99.75" customHeight="1">
      <c r="A31" s="427"/>
      <c r="B31" s="424"/>
      <c r="C31" s="1" t="s">
        <v>219</v>
      </c>
      <c r="D31" s="4">
        <v>2022</v>
      </c>
      <c r="E31" s="46">
        <f>F31+G31+J31+K31</f>
        <v>0</v>
      </c>
      <c r="F31" s="46">
        <v>0</v>
      </c>
      <c r="G31" s="46">
        <f>H31+I31</f>
        <v>0</v>
      </c>
      <c r="H31" s="46">
        <v>0</v>
      </c>
      <c r="I31" s="46">
        <v>0</v>
      </c>
      <c r="J31" s="46">
        <v>0</v>
      </c>
      <c r="K31" s="46">
        <v>0</v>
      </c>
      <c r="L31" s="1" t="s">
        <v>219</v>
      </c>
      <c r="M31" s="474"/>
    </row>
    <row r="32" spans="1:13" s="79" customFormat="1" ht="31.5" customHeight="1">
      <c r="A32" s="428"/>
      <c r="B32" s="425"/>
      <c r="C32" s="1"/>
      <c r="D32" s="4">
        <v>2023</v>
      </c>
      <c r="E32" s="46">
        <f>F32+G32+J32+K32</f>
        <v>0</v>
      </c>
      <c r="F32" s="46"/>
      <c r="G32" s="46">
        <f>H32+I32</f>
        <v>0</v>
      </c>
      <c r="H32" s="46">
        <v>0</v>
      </c>
      <c r="I32" s="46">
        <v>0</v>
      </c>
      <c r="J32" s="46">
        <v>0</v>
      </c>
      <c r="K32" s="46">
        <v>0</v>
      </c>
      <c r="L32" s="1"/>
      <c r="M32" s="394"/>
    </row>
    <row r="33" spans="1:13" s="79" customFormat="1" ht="61.5" customHeight="1">
      <c r="A33" s="464" t="s">
        <v>221</v>
      </c>
      <c r="B33" s="467" t="s">
        <v>249</v>
      </c>
      <c r="C33" s="214"/>
      <c r="D33" s="215" t="s">
        <v>222</v>
      </c>
      <c r="E33" s="216">
        <f aca="true" t="shared" si="6" ref="E33:J33">E34+E35+E36+E37+E38+E39+E40+E41+E42</f>
        <v>4554.2</v>
      </c>
      <c r="F33" s="216">
        <f t="shared" si="6"/>
        <v>0</v>
      </c>
      <c r="G33" s="216">
        <f t="shared" si="6"/>
        <v>4509.2</v>
      </c>
      <c r="H33" s="216">
        <f t="shared" si="6"/>
        <v>4419</v>
      </c>
      <c r="I33" s="216">
        <f t="shared" si="6"/>
        <v>90.2</v>
      </c>
      <c r="J33" s="216">
        <f t="shared" si="6"/>
        <v>45</v>
      </c>
      <c r="K33" s="216">
        <f>K34+K35+K36+K37+K38+K39+K40+K41+K42</f>
        <v>0</v>
      </c>
      <c r="L33" s="210"/>
      <c r="M33" s="470" t="s">
        <v>243</v>
      </c>
    </row>
    <row r="34" spans="1:13" s="79" customFormat="1" ht="66" customHeight="1">
      <c r="A34" s="465"/>
      <c r="B34" s="468"/>
      <c r="C34" s="213" t="s">
        <v>42</v>
      </c>
      <c r="D34" s="213" t="s">
        <v>222</v>
      </c>
      <c r="E34" s="9">
        <f aca="true" t="shared" si="7" ref="E34:E42">F34+G34+J34+K34</f>
        <v>4554.2</v>
      </c>
      <c r="F34" s="217"/>
      <c r="G34" s="9">
        <f aca="true" t="shared" si="8" ref="G34:G42">H34+I34</f>
        <v>4509.2</v>
      </c>
      <c r="H34" s="9">
        <f>4509.2-90.2</f>
        <v>4419</v>
      </c>
      <c r="I34" s="9">
        <v>90.2</v>
      </c>
      <c r="J34" s="9">
        <f>45</f>
        <v>45</v>
      </c>
      <c r="K34" s="9">
        <v>0</v>
      </c>
      <c r="L34" s="1" t="s">
        <v>42</v>
      </c>
      <c r="M34" s="471"/>
    </row>
    <row r="35" spans="1:13" s="79" customFormat="1" ht="69.75" customHeight="1">
      <c r="A35" s="466"/>
      <c r="B35" s="469"/>
      <c r="C35" s="213" t="s">
        <v>43</v>
      </c>
      <c r="D35" s="213" t="s">
        <v>222</v>
      </c>
      <c r="E35" s="9">
        <f t="shared" si="7"/>
        <v>0</v>
      </c>
      <c r="F35" s="218"/>
      <c r="G35" s="9">
        <f t="shared" si="8"/>
        <v>0</v>
      </c>
      <c r="H35" s="217">
        <v>0</v>
      </c>
      <c r="I35" s="217">
        <v>0</v>
      </c>
      <c r="J35" s="217">
        <v>0</v>
      </c>
      <c r="K35" s="217">
        <v>0</v>
      </c>
      <c r="L35" s="1" t="s">
        <v>219</v>
      </c>
      <c r="M35" s="471"/>
    </row>
    <row r="36" spans="1:13" s="79" customFormat="1" ht="163.5" customHeight="1">
      <c r="A36" s="211" t="s">
        <v>223</v>
      </c>
      <c r="B36" s="219" t="s">
        <v>224</v>
      </c>
      <c r="C36" s="213" t="s">
        <v>42</v>
      </c>
      <c r="D36" s="213" t="s">
        <v>222</v>
      </c>
      <c r="E36" s="46">
        <f t="shared" si="7"/>
        <v>0</v>
      </c>
      <c r="F36" s="216">
        <v>0</v>
      </c>
      <c r="G36" s="9">
        <f t="shared" si="8"/>
        <v>0</v>
      </c>
      <c r="H36" s="216">
        <v>0</v>
      </c>
      <c r="I36" s="216">
        <v>0</v>
      </c>
      <c r="J36" s="216">
        <v>0</v>
      </c>
      <c r="K36" s="216">
        <v>0</v>
      </c>
      <c r="L36" s="213" t="s">
        <v>42</v>
      </c>
      <c r="M36" s="471"/>
    </row>
    <row r="37" spans="1:13" s="79" customFormat="1" ht="117" customHeight="1">
      <c r="A37" s="211" t="s">
        <v>225</v>
      </c>
      <c r="B37" s="212" t="s">
        <v>226</v>
      </c>
      <c r="C37" s="213" t="s">
        <v>42</v>
      </c>
      <c r="D37" s="215" t="s">
        <v>222</v>
      </c>
      <c r="E37" s="46">
        <f t="shared" si="7"/>
        <v>0</v>
      </c>
      <c r="F37" s="216">
        <v>0</v>
      </c>
      <c r="G37" s="46">
        <f t="shared" si="8"/>
        <v>0</v>
      </c>
      <c r="H37" s="216">
        <v>0</v>
      </c>
      <c r="I37" s="216">
        <v>0</v>
      </c>
      <c r="J37" s="216">
        <v>0</v>
      </c>
      <c r="K37" s="216">
        <v>0</v>
      </c>
      <c r="L37" s="213" t="s">
        <v>42</v>
      </c>
      <c r="M37" s="471"/>
    </row>
    <row r="38" spans="1:13" s="79" customFormat="1" ht="127.5" customHeight="1">
      <c r="A38" s="211" t="s">
        <v>227</v>
      </c>
      <c r="B38" s="158" t="s">
        <v>228</v>
      </c>
      <c r="C38" s="1" t="s">
        <v>229</v>
      </c>
      <c r="D38" s="4">
        <v>2021</v>
      </c>
      <c r="E38" s="46">
        <f t="shared" si="7"/>
        <v>0</v>
      </c>
      <c r="F38" s="216">
        <v>0</v>
      </c>
      <c r="G38" s="46">
        <f t="shared" si="8"/>
        <v>0</v>
      </c>
      <c r="H38" s="46">
        <v>0</v>
      </c>
      <c r="I38" s="46">
        <v>0</v>
      </c>
      <c r="J38" s="46">
        <v>0</v>
      </c>
      <c r="K38" s="46">
        <v>0</v>
      </c>
      <c r="L38" s="213" t="s">
        <v>42</v>
      </c>
      <c r="M38" s="471"/>
    </row>
    <row r="39" spans="1:13" s="79" customFormat="1" ht="161.25" customHeight="1">
      <c r="A39" s="211" t="s">
        <v>230</v>
      </c>
      <c r="B39" s="3" t="s">
        <v>231</v>
      </c>
      <c r="C39" s="1" t="s">
        <v>42</v>
      </c>
      <c r="D39" s="4">
        <v>2021</v>
      </c>
      <c r="E39" s="46">
        <f t="shared" si="7"/>
        <v>0</v>
      </c>
      <c r="F39" s="216"/>
      <c r="G39" s="46">
        <f t="shared" si="8"/>
        <v>0</v>
      </c>
      <c r="H39" s="46">
        <v>0</v>
      </c>
      <c r="I39" s="46">
        <v>0</v>
      </c>
      <c r="J39" s="46">
        <v>0</v>
      </c>
      <c r="K39" s="46">
        <v>0</v>
      </c>
      <c r="L39" s="213" t="s">
        <v>42</v>
      </c>
      <c r="M39" s="471"/>
    </row>
    <row r="40" spans="1:13" s="79" customFormat="1" ht="133.5" customHeight="1">
      <c r="A40" s="211" t="s">
        <v>232</v>
      </c>
      <c r="B40" s="3" t="s">
        <v>233</v>
      </c>
      <c r="C40" s="1" t="s">
        <v>42</v>
      </c>
      <c r="D40" s="4">
        <v>2021</v>
      </c>
      <c r="E40" s="46">
        <f t="shared" si="7"/>
        <v>0</v>
      </c>
      <c r="F40" s="216"/>
      <c r="G40" s="46">
        <f t="shared" si="8"/>
        <v>0</v>
      </c>
      <c r="H40" s="46">
        <v>0</v>
      </c>
      <c r="I40" s="46">
        <v>0</v>
      </c>
      <c r="J40" s="46">
        <v>0</v>
      </c>
      <c r="K40" s="46">
        <v>0</v>
      </c>
      <c r="L40" s="7"/>
      <c r="M40" s="471"/>
    </row>
    <row r="41" spans="1:13" s="79" customFormat="1" ht="155.25" customHeight="1">
      <c r="A41" s="211" t="s">
        <v>234</v>
      </c>
      <c r="B41" s="158" t="s">
        <v>235</v>
      </c>
      <c r="C41" s="1" t="s">
        <v>42</v>
      </c>
      <c r="D41" s="4">
        <v>2021</v>
      </c>
      <c r="E41" s="46">
        <f t="shared" si="7"/>
        <v>0</v>
      </c>
      <c r="F41" s="216"/>
      <c r="G41" s="46">
        <f t="shared" si="8"/>
        <v>0</v>
      </c>
      <c r="H41" s="46">
        <v>0</v>
      </c>
      <c r="I41" s="46">
        <v>0</v>
      </c>
      <c r="J41" s="46">
        <v>0</v>
      </c>
      <c r="K41" s="46">
        <v>0</v>
      </c>
      <c r="L41" s="213" t="s">
        <v>42</v>
      </c>
      <c r="M41" s="471"/>
    </row>
    <row r="42" spans="1:13" s="79" customFormat="1" ht="192" customHeight="1">
      <c r="A42" s="211" t="s">
        <v>236</v>
      </c>
      <c r="B42" s="158" t="s">
        <v>237</v>
      </c>
      <c r="C42" s="1" t="s">
        <v>42</v>
      </c>
      <c r="D42" s="4">
        <v>2021</v>
      </c>
      <c r="E42" s="46">
        <f t="shared" si="7"/>
        <v>0</v>
      </c>
      <c r="F42" s="220"/>
      <c r="G42" s="46">
        <f t="shared" si="8"/>
        <v>0</v>
      </c>
      <c r="H42" s="46">
        <v>0</v>
      </c>
      <c r="I42" s="46">
        <v>0</v>
      </c>
      <c r="J42" s="46">
        <v>0</v>
      </c>
      <c r="K42" s="46">
        <v>0</v>
      </c>
      <c r="L42" s="213" t="s">
        <v>42</v>
      </c>
      <c r="M42" s="472"/>
    </row>
    <row r="43" spans="1:13" s="222" customFormat="1" ht="109.5" customHeight="1">
      <c r="A43" s="426" t="s">
        <v>238</v>
      </c>
      <c r="B43" s="462" t="s">
        <v>275</v>
      </c>
      <c r="C43" s="4"/>
      <c r="D43" s="4">
        <v>2021</v>
      </c>
      <c r="E43" s="46">
        <f aca="true" t="shared" si="9" ref="E43:J43">E44</f>
        <v>0</v>
      </c>
      <c r="F43" s="46">
        <f t="shared" si="9"/>
        <v>0</v>
      </c>
      <c r="G43" s="46">
        <f t="shared" si="9"/>
        <v>0</v>
      </c>
      <c r="H43" s="46">
        <f t="shared" si="9"/>
        <v>0</v>
      </c>
      <c r="I43" s="46">
        <f t="shared" si="9"/>
        <v>0</v>
      </c>
      <c r="J43" s="46">
        <f t="shared" si="9"/>
        <v>0</v>
      </c>
      <c r="K43" s="46">
        <f>K44</f>
        <v>0</v>
      </c>
      <c r="L43" s="4"/>
      <c r="M43" s="101"/>
    </row>
    <row r="44" spans="1:13" s="222" customFormat="1" ht="105" customHeight="1">
      <c r="A44" s="428"/>
      <c r="B44" s="463"/>
      <c r="C44" s="1" t="s">
        <v>239</v>
      </c>
      <c r="D44" s="1">
        <v>2021</v>
      </c>
      <c r="E44" s="9">
        <f>F44+G44+J44+K44</f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4"/>
      <c r="M44" s="101"/>
    </row>
    <row r="45" spans="1:13" s="79" customFormat="1" ht="20.25">
      <c r="A45" s="78"/>
      <c r="B45" s="451" t="s">
        <v>240</v>
      </c>
      <c r="C45" s="7"/>
      <c r="D45" s="7">
        <v>2020</v>
      </c>
      <c r="E45" s="223">
        <f aca="true" t="shared" si="10" ref="E45:J45">E15</f>
        <v>1128.3</v>
      </c>
      <c r="F45" s="223">
        <f t="shared" si="10"/>
        <v>0</v>
      </c>
      <c r="G45" s="223">
        <f t="shared" si="10"/>
        <v>1117</v>
      </c>
      <c r="H45" s="223">
        <f t="shared" si="10"/>
        <v>1094.7</v>
      </c>
      <c r="I45" s="223">
        <f t="shared" si="10"/>
        <v>22.3</v>
      </c>
      <c r="J45" s="223">
        <f t="shared" si="10"/>
        <v>11.299999999999997</v>
      </c>
      <c r="K45" s="223">
        <f>K15</f>
        <v>0</v>
      </c>
      <c r="L45" s="7"/>
      <c r="M45" s="38"/>
    </row>
    <row r="46" spans="1:13" s="79" customFormat="1" ht="20.25">
      <c r="A46" s="78"/>
      <c r="B46" s="452"/>
      <c r="C46" s="7"/>
      <c r="D46" s="7">
        <v>2021</v>
      </c>
      <c r="E46" s="223">
        <f aca="true" t="shared" si="11" ref="E46:K46">E25+E30+E33+E43+E16</f>
        <v>6841.900000000001</v>
      </c>
      <c r="F46" s="223">
        <f t="shared" si="11"/>
        <v>0</v>
      </c>
      <c r="G46" s="223">
        <f t="shared" si="11"/>
        <v>6636.1</v>
      </c>
      <c r="H46" s="223">
        <f t="shared" si="11"/>
        <v>6413.4</v>
      </c>
      <c r="I46" s="223">
        <f t="shared" si="11"/>
        <v>222.7</v>
      </c>
      <c r="J46" s="223">
        <f>J25+J30+J33+J43+J16</f>
        <v>205.8</v>
      </c>
      <c r="K46" s="223">
        <f t="shared" si="11"/>
        <v>0</v>
      </c>
      <c r="L46" s="7"/>
      <c r="M46" s="38"/>
    </row>
    <row r="47" spans="1:13" s="79" customFormat="1" ht="20.25">
      <c r="A47" s="78"/>
      <c r="B47" s="452"/>
      <c r="C47" s="7"/>
      <c r="D47" s="7">
        <v>2022</v>
      </c>
      <c r="E47" s="223">
        <f aca="true" t="shared" si="12" ref="E47:K47">E27+E31</f>
        <v>1092</v>
      </c>
      <c r="F47" s="223">
        <f t="shared" si="12"/>
        <v>0</v>
      </c>
      <c r="G47" s="223">
        <f t="shared" si="12"/>
        <v>950</v>
      </c>
      <c r="H47" s="223">
        <f t="shared" si="12"/>
        <v>836</v>
      </c>
      <c r="I47" s="223">
        <f t="shared" si="12"/>
        <v>114</v>
      </c>
      <c r="J47" s="223">
        <f t="shared" si="12"/>
        <v>142</v>
      </c>
      <c r="K47" s="223">
        <f t="shared" si="12"/>
        <v>0</v>
      </c>
      <c r="L47" s="7"/>
      <c r="M47" s="38"/>
    </row>
    <row r="48" spans="1:13" s="79" customFormat="1" ht="20.25">
      <c r="A48" s="78"/>
      <c r="B48" s="453"/>
      <c r="C48" s="7"/>
      <c r="D48" s="7">
        <v>2023</v>
      </c>
      <c r="E48" s="223">
        <f>F48+G48+J48+K48</f>
        <v>0</v>
      </c>
      <c r="F48" s="223">
        <v>0</v>
      </c>
      <c r="G48" s="223">
        <f>H48+I48</f>
        <v>0</v>
      </c>
      <c r="H48" s="223">
        <v>0</v>
      </c>
      <c r="I48" s="223">
        <v>0</v>
      </c>
      <c r="J48" s="223">
        <v>0</v>
      </c>
      <c r="K48" s="223">
        <v>0</v>
      </c>
      <c r="L48" s="7"/>
      <c r="M48" s="38"/>
    </row>
    <row r="49" spans="1:13" s="79" customFormat="1" ht="44.25" customHeight="1">
      <c r="A49" s="78"/>
      <c r="B49" s="7" t="s">
        <v>241</v>
      </c>
      <c r="C49" s="7"/>
      <c r="D49" s="7"/>
      <c r="E49" s="223">
        <f>E45+E46+E47+E48</f>
        <v>9062.2</v>
      </c>
      <c r="F49" s="223">
        <f aca="true" t="shared" si="13" ref="F49:K49">F45+F46+F47+F48</f>
        <v>0</v>
      </c>
      <c r="G49" s="223">
        <f t="shared" si="13"/>
        <v>8703.1</v>
      </c>
      <c r="H49" s="223">
        <f t="shared" si="13"/>
        <v>8344.099999999999</v>
      </c>
      <c r="I49" s="223">
        <f t="shared" si="13"/>
        <v>359</v>
      </c>
      <c r="J49" s="223">
        <f t="shared" si="13"/>
        <v>359.1</v>
      </c>
      <c r="K49" s="223">
        <f t="shared" si="13"/>
        <v>0</v>
      </c>
      <c r="L49" s="7"/>
      <c r="M49" s="38"/>
    </row>
    <row r="50" spans="1:13" s="70" customFormat="1" ht="44.25" customHeight="1">
      <c r="A50" s="479" t="s">
        <v>67</v>
      </c>
      <c r="B50" s="486" t="s">
        <v>68</v>
      </c>
      <c r="C50" s="487"/>
      <c r="D50" s="451">
        <v>2017</v>
      </c>
      <c r="E50" s="475">
        <f>F50+G50+J50+K50</f>
        <v>0</v>
      </c>
      <c r="F50" s="475"/>
      <c r="G50" s="483">
        <f>H50+I50</f>
        <v>0</v>
      </c>
      <c r="H50" s="484"/>
      <c r="I50" s="484">
        <v>0</v>
      </c>
      <c r="J50" s="484">
        <v>0</v>
      </c>
      <c r="K50" s="477"/>
      <c r="L50" s="478" t="s">
        <v>3</v>
      </c>
      <c r="M50" s="476" t="s">
        <v>62</v>
      </c>
    </row>
    <row r="51" spans="1:13" s="70" customFormat="1" ht="21.75" customHeight="1">
      <c r="A51" s="485"/>
      <c r="B51" s="488"/>
      <c r="C51" s="489"/>
      <c r="D51" s="453"/>
      <c r="E51" s="475"/>
      <c r="F51" s="475"/>
      <c r="G51" s="483"/>
      <c r="H51" s="484"/>
      <c r="I51" s="484"/>
      <c r="J51" s="484"/>
      <c r="K51" s="477"/>
      <c r="L51" s="478"/>
      <c r="M51" s="476"/>
    </row>
    <row r="52" spans="1:13" s="70" customFormat="1" ht="24.75" customHeight="1">
      <c r="A52" s="485"/>
      <c r="B52" s="488"/>
      <c r="C52" s="489"/>
      <c r="D52" s="4">
        <v>2018</v>
      </c>
      <c r="E52" s="24">
        <f>F52+G52+J52+K52</f>
        <v>0</v>
      </c>
      <c r="F52" s="24"/>
      <c r="G52" s="10">
        <f>H52+I52</f>
        <v>0</v>
      </c>
      <c r="H52" s="2"/>
      <c r="I52" s="2">
        <v>0</v>
      </c>
      <c r="J52" s="2">
        <v>0</v>
      </c>
      <c r="K52" s="39"/>
      <c r="L52" s="408" t="s">
        <v>3</v>
      </c>
      <c r="M52" s="476"/>
    </row>
    <row r="53" spans="1:13" s="70" customFormat="1" ht="29.25" customHeight="1">
      <c r="A53" s="485"/>
      <c r="B53" s="488"/>
      <c r="C53" s="489"/>
      <c r="D53" s="4">
        <v>2019</v>
      </c>
      <c r="E53" s="24">
        <f>F53+G53+J53+K53</f>
        <v>0</v>
      </c>
      <c r="F53" s="10"/>
      <c r="G53" s="10">
        <f>H53+I53</f>
        <v>0</v>
      </c>
      <c r="H53" s="10"/>
      <c r="I53" s="2">
        <v>0</v>
      </c>
      <c r="J53" s="2">
        <v>0</v>
      </c>
      <c r="K53" s="39"/>
      <c r="L53" s="408" t="s">
        <v>3</v>
      </c>
      <c r="M53" s="476"/>
    </row>
    <row r="54" spans="1:13" s="70" customFormat="1" ht="25.5" customHeight="1">
      <c r="A54" s="485"/>
      <c r="B54" s="488"/>
      <c r="C54" s="489"/>
      <c r="D54" s="4">
        <v>2020</v>
      </c>
      <c r="E54" s="24">
        <f>F54+G54+J54+K54</f>
        <v>0</v>
      </c>
      <c r="F54" s="24"/>
      <c r="G54" s="10">
        <f>H54+I54</f>
        <v>0</v>
      </c>
      <c r="H54" s="10"/>
      <c r="I54" s="2">
        <v>0</v>
      </c>
      <c r="J54" s="2">
        <v>0</v>
      </c>
      <c r="K54" s="22"/>
      <c r="L54" s="381" t="s">
        <v>3</v>
      </c>
      <c r="M54" s="476"/>
    </row>
    <row r="55" spans="1:13" s="70" customFormat="1" ht="31.5" customHeight="1">
      <c r="A55" s="485"/>
      <c r="B55" s="488"/>
      <c r="C55" s="489"/>
      <c r="D55" s="4">
        <v>2021</v>
      </c>
      <c r="E55" s="24">
        <f>F55+G55+J55+K55</f>
        <v>0</v>
      </c>
      <c r="F55" s="24"/>
      <c r="G55" s="10">
        <f>H55+I55</f>
        <v>0</v>
      </c>
      <c r="H55" s="10"/>
      <c r="I55" s="2">
        <v>0</v>
      </c>
      <c r="J55" s="2">
        <v>0</v>
      </c>
      <c r="K55" s="22"/>
      <c r="L55" s="381" t="s">
        <v>3</v>
      </c>
      <c r="M55" s="476"/>
    </row>
    <row r="56" spans="1:13" s="70" customFormat="1" ht="31.5" customHeight="1">
      <c r="A56" s="480"/>
      <c r="B56" s="490"/>
      <c r="C56" s="491"/>
      <c r="D56" s="4">
        <v>2023</v>
      </c>
      <c r="E56" s="24">
        <v>0</v>
      </c>
      <c r="F56" s="24">
        <v>0</v>
      </c>
      <c r="G56" s="24">
        <v>0</v>
      </c>
      <c r="H56" s="24">
        <v>0</v>
      </c>
      <c r="I56" s="26">
        <v>0</v>
      </c>
      <c r="J56" s="26">
        <v>0</v>
      </c>
      <c r="K56" s="33">
        <v>0</v>
      </c>
      <c r="L56" s="381" t="s">
        <v>3</v>
      </c>
      <c r="M56" s="23"/>
    </row>
    <row r="57" spans="1:13" s="70" customFormat="1" ht="33.75" customHeight="1">
      <c r="A57" s="650" t="s">
        <v>69</v>
      </c>
      <c r="B57" s="644" t="s">
        <v>264</v>
      </c>
      <c r="C57" s="645"/>
      <c r="D57" s="4">
        <v>2017</v>
      </c>
      <c r="E57" s="24">
        <f aca="true" t="shared" si="14" ref="E57:K58">E64</f>
        <v>155.5623</v>
      </c>
      <c r="F57" s="24">
        <f t="shared" si="14"/>
        <v>0</v>
      </c>
      <c r="G57" s="24">
        <f t="shared" si="14"/>
        <v>0</v>
      </c>
      <c r="H57" s="24">
        <f t="shared" si="14"/>
        <v>0</v>
      </c>
      <c r="I57" s="24">
        <f t="shared" si="14"/>
        <v>0</v>
      </c>
      <c r="J57" s="24">
        <f t="shared" si="14"/>
        <v>155.5623</v>
      </c>
      <c r="K57" s="24">
        <f t="shared" si="14"/>
        <v>0</v>
      </c>
      <c r="L57" s="409"/>
      <c r="M57" s="252"/>
    </row>
    <row r="58" spans="1:13" s="70" customFormat="1" ht="33" customHeight="1">
      <c r="A58" s="651"/>
      <c r="B58" s="646"/>
      <c r="C58" s="647"/>
      <c r="D58" s="4">
        <v>2018</v>
      </c>
      <c r="E58" s="24">
        <f t="shared" si="14"/>
        <v>394.40002999999996</v>
      </c>
      <c r="F58" s="24">
        <f t="shared" si="14"/>
        <v>0</v>
      </c>
      <c r="G58" s="24">
        <f t="shared" si="14"/>
        <v>0</v>
      </c>
      <c r="H58" s="24">
        <f t="shared" si="14"/>
        <v>0</v>
      </c>
      <c r="I58" s="24">
        <f t="shared" si="14"/>
        <v>0</v>
      </c>
      <c r="J58" s="24">
        <f t="shared" si="14"/>
        <v>394.40002999999996</v>
      </c>
      <c r="K58" s="24">
        <f t="shared" si="14"/>
        <v>0</v>
      </c>
      <c r="L58" s="409"/>
      <c r="M58" s="252"/>
    </row>
    <row r="59" spans="1:13" s="70" customFormat="1" ht="39" customHeight="1">
      <c r="A59" s="651"/>
      <c r="B59" s="646"/>
      <c r="C59" s="647"/>
      <c r="D59" s="4">
        <v>2019</v>
      </c>
      <c r="E59" s="24">
        <f aca="true" t="shared" si="15" ref="E59:K60">E66+E71+E73</f>
        <v>236.87999999999997</v>
      </c>
      <c r="F59" s="24">
        <f t="shared" si="15"/>
        <v>0</v>
      </c>
      <c r="G59" s="24">
        <f t="shared" si="15"/>
        <v>0</v>
      </c>
      <c r="H59" s="24">
        <f t="shared" si="15"/>
        <v>0</v>
      </c>
      <c r="I59" s="24">
        <f t="shared" si="15"/>
        <v>0</v>
      </c>
      <c r="J59" s="24">
        <f t="shared" si="15"/>
        <v>236.87999999999997</v>
      </c>
      <c r="K59" s="24">
        <f t="shared" si="15"/>
        <v>0</v>
      </c>
      <c r="L59" s="409"/>
      <c r="M59" s="252"/>
    </row>
    <row r="60" spans="1:13" s="70" customFormat="1" ht="33" customHeight="1">
      <c r="A60" s="651"/>
      <c r="B60" s="646"/>
      <c r="C60" s="647"/>
      <c r="D60" s="4">
        <v>2020</v>
      </c>
      <c r="E60" s="24">
        <f t="shared" si="15"/>
        <v>221.78329999999994</v>
      </c>
      <c r="F60" s="24">
        <f t="shared" si="15"/>
        <v>0</v>
      </c>
      <c r="G60" s="24">
        <f t="shared" si="15"/>
        <v>0</v>
      </c>
      <c r="H60" s="24">
        <f t="shared" si="15"/>
        <v>0</v>
      </c>
      <c r="I60" s="24">
        <f t="shared" si="15"/>
        <v>0</v>
      </c>
      <c r="J60" s="24">
        <f t="shared" si="15"/>
        <v>221.78329999999994</v>
      </c>
      <c r="K60" s="24">
        <f t="shared" si="15"/>
        <v>0</v>
      </c>
      <c r="L60" s="409"/>
      <c r="M60" s="252"/>
    </row>
    <row r="61" spans="1:13" s="70" customFormat="1" ht="33" customHeight="1">
      <c r="A61" s="651"/>
      <c r="B61" s="646"/>
      <c r="C61" s="647"/>
      <c r="D61" s="4">
        <v>2021</v>
      </c>
      <c r="E61" s="24">
        <f aca="true" t="shared" si="16" ref="E61:K63">E68</f>
        <v>261.53</v>
      </c>
      <c r="F61" s="24">
        <f t="shared" si="16"/>
        <v>0</v>
      </c>
      <c r="G61" s="24">
        <f t="shared" si="16"/>
        <v>0</v>
      </c>
      <c r="H61" s="24">
        <f t="shared" si="16"/>
        <v>0</v>
      </c>
      <c r="I61" s="24">
        <f t="shared" si="16"/>
        <v>0</v>
      </c>
      <c r="J61" s="24">
        <f t="shared" si="16"/>
        <v>261.53</v>
      </c>
      <c r="K61" s="24">
        <f t="shared" si="16"/>
        <v>0</v>
      </c>
      <c r="L61" s="409"/>
      <c r="M61" s="252"/>
    </row>
    <row r="62" spans="1:13" s="70" customFormat="1" ht="30" customHeight="1">
      <c r="A62" s="651"/>
      <c r="B62" s="646"/>
      <c r="C62" s="647"/>
      <c r="D62" s="4">
        <v>2022</v>
      </c>
      <c r="E62" s="24">
        <f t="shared" si="16"/>
        <v>276.53</v>
      </c>
      <c r="F62" s="24">
        <f t="shared" si="16"/>
        <v>0</v>
      </c>
      <c r="G62" s="24">
        <f t="shared" si="16"/>
        <v>0</v>
      </c>
      <c r="H62" s="24">
        <f t="shared" si="16"/>
        <v>0</v>
      </c>
      <c r="I62" s="24">
        <f t="shared" si="16"/>
        <v>0</v>
      </c>
      <c r="J62" s="24">
        <f t="shared" si="16"/>
        <v>276.53</v>
      </c>
      <c r="K62" s="24">
        <f t="shared" si="16"/>
        <v>0</v>
      </c>
      <c r="L62" s="409"/>
      <c r="M62" s="252"/>
    </row>
    <row r="63" spans="1:13" s="70" customFormat="1" ht="30" customHeight="1">
      <c r="A63" s="652"/>
      <c r="B63" s="648"/>
      <c r="C63" s="649"/>
      <c r="D63" s="4">
        <v>2023</v>
      </c>
      <c r="E63" s="24">
        <f t="shared" si="16"/>
        <v>276.53</v>
      </c>
      <c r="F63" s="24">
        <f aca="true" t="shared" si="17" ref="F63:K63">F70</f>
        <v>0</v>
      </c>
      <c r="G63" s="24">
        <f t="shared" si="17"/>
        <v>0</v>
      </c>
      <c r="H63" s="24">
        <f t="shared" si="17"/>
        <v>0</v>
      </c>
      <c r="I63" s="24">
        <f t="shared" si="17"/>
        <v>0</v>
      </c>
      <c r="J63" s="24">
        <f t="shared" si="17"/>
        <v>276.53</v>
      </c>
      <c r="K63" s="24">
        <f t="shared" si="17"/>
        <v>0</v>
      </c>
      <c r="L63" s="409"/>
      <c r="M63" s="252"/>
    </row>
    <row r="64" spans="1:13" s="70" customFormat="1" ht="55.5" customHeight="1">
      <c r="A64" s="498" t="s">
        <v>263</v>
      </c>
      <c r="B64" s="492" t="s">
        <v>147</v>
      </c>
      <c r="C64" s="493"/>
      <c r="D64" s="1">
        <v>2017</v>
      </c>
      <c r="E64" s="26">
        <f aca="true" t="shared" si="18" ref="E64:E71">F64+I64+J64+K64</f>
        <v>155.5623</v>
      </c>
      <c r="F64" s="26"/>
      <c r="G64" s="26">
        <f aca="true" t="shared" si="19" ref="G64:G71">H64+I64</f>
        <v>0</v>
      </c>
      <c r="H64" s="126"/>
      <c r="I64" s="26">
        <v>0</v>
      </c>
      <c r="J64" s="26">
        <f>40+68.197-39.45+0.42+51.795+4.6003+30</f>
        <v>155.5623</v>
      </c>
      <c r="K64" s="34"/>
      <c r="L64" s="381" t="s">
        <v>6</v>
      </c>
      <c r="M64" s="476" t="s">
        <v>53</v>
      </c>
    </row>
    <row r="65" spans="1:13" s="70" customFormat="1" ht="57.75" customHeight="1">
      <c r="A65" s="499"/>
      <c r="B65" s="494"/>
      <c r="C65" s="495"/>
      <c r="D65" s="1">
        <v>2018</v>
      </c>
      <c r="E65" s="26">
        <f t="shared" si="18"/>
        <v>394.40002999999996</v>
      </c>
      <c r="F65" s="26"/>
      <c r="G65" s="26">
        <f t="shared" si="19"/>
        <v>0</v>
      </c>
      <c r="H65" s="126"/>
      <c r="I65" s="26">
        <v>0</v>
      </c>
      <c r="J65" s="26">
        <f>325-70-60+150-5.5-9.25-8.1+41.63+30.62003</f>
        <v>394.40002999999996</v>
      </c>
      <c r="K65" s="34"/>
      <c r="L65" s="381" t="s">
        <v>110</v>
      </c>
      <c r="M65" s="476"/>
    </row>
    <row r="66" spans="1:13" s="70" customFormat="1" ht="50.25" customHeight="1">
      <c r="A66" s="499"/>
      <c r="B66" s="494"/>
      <c r="C66" s="495"/>
      <c r="D66" s="1">
        <v>2019</v>
      </c>
      <c r="E66" s="26">
        <f t="shared" si="18"/>
        <v>194.37999999999997</v>
      </c>
      <c r="F66" s="26"/>
      <c r="G66" s="26">
        <f t="shared" si="19"/>
        <v>0</v>
      </c>
      <c r="H66" s="126"/>
      <c r="I66" s="26">
        <v>0</v>
      </c>
      <c r="J66" s="26">
        <f>363.78-1.1-12.25-15.357-19-61.293-19-42.5+1.1</f>
        <v>194.37999999999997</v>
      </c>
      <c r="K66" s="34"/>
      <c r="L66" s="381" t="s">
        <v>26</v>
      </c>
      <c r="M66" s="476"/>
    </row>
    <row r="67" spans="1:13" s="70" customFormat="1" ht="63" customHeight="1">
      <c r="A67" s="499"/>
      <c r="B67" s="494"/>
      <c r="C67" s="495"/>
      <c r="D67" s="1">
        <v>2020</v>
      </c>
      <c r="E67" s="26">
        <f t="shared" si="18"/>
        <v>178.38329999999993</v>
      </c>
      <c r="F67" s="26"/>
      <c r="G67" s="26">
        <f t="shared" si="19"/>
        <v>0</v>
      </c>
      <c r="H67" s="126"/>
      <c r="I67" s="26">
        <v>0</v>
      </c>
      <c r="J67" s="26">
        <f>276.53-9.9657-43.4-1.781-40-3</f>
        <v>178.38329999999993</v>
      </c>
      <c r="K67" s="34"/>
      <c r="L67" s="393" t="s">
        <v>26</v>
      </c>
      <c r="M67" s="476"/>
    </row>
    <row r="68" spans="1:13" s="70" customFormat="1" ht="50.25" customHeight="1">
      <c r="A68" s="499"/>
      <c r="B68" s="494"/>
      <c r="C68" s="495"/>
      <c r="D68" s="1">
        <v>2021</v>
      </c>
      <c r="E68" s="26">
        <f>F68+I68+J68+K68</f>
        <v>261.53</v>
      </c>
      <c r="F68" s="26"/>
      <c r="G68" s="26">
        <f>H68+I68</f>
        <v>0</v>
      </c>
      <c r="H68" s="126"/>
      <c r="I68" s="26">
        <v>0</v>
      </c>
      <c r="J68" s="26">
        <f>276.53-15</f>
        <v>261.53</v>
      </c>
      <c r="K68" s="34"/>
      <c r="L68" s="393"/>
      <c r="M68" s="476"/>
    </row>
    <row r="69" spans="1:13" s="70" customFormat="1" ht="51" customHeight="1">
      <c r="A69" s="499"/>
      <c r="B69" s="494"/>
      <c r="C69" s="495"/>
      <c r="D69" s="1">
        <v>2022</v>
      </c>
      <c r="E69" s="26">
        <f t="shared" si="18"/>
        <v>276.53</v>
      </c>
      <c r="F69" s="26"/>
      <c r="G69" s="26">
        <f t="shared" si="19"/>
        <v>0</v>
      </c>
      <c r="H69" s="126"/>
      <c r="I69" s="26">
        <v>0</v>
      </c>
      <c r="J69" s="26">
        <v>276.53</v>
      </c>
      <c r="K69" s="34"/>
      <c r="L69" s="393" t="s">
        <v>26</v>
      </c>
      <c r="M69" s="476"/>
    </row>
    <row r="70" spans="1:13" s="70" customFormat="1" ht="51" customHeight="1">
      <c r="A70" s="500"/>
      <c r="B70" s="496"/>
      <c r="C70" s="497"/>
      <c r="D70" s="1">
        <v>2023</v>
      </c>
      <c r="E70" s="26">
        <f t="shared" si="18"/>
        <v>276.53</v>
      </c>
      <c r="F70" s="26"/>
      <c r="G70" s="26">
        <f t="shared" si="19"/>
        <v>0</v>
      </c>
      <c r="H70" s="126"/>
      <c r="I70" s="26">
        <v>0</v>
      </c>
      <c r="J70" s="26">
        <v>276.53</v>
      </c>
      <c r="K70" s="34"/>
      <c r="L70" s="393"/>
      <c r="M70" s="23"/>
    </row>
    <row r="71" spans="1:13" s="70" customFormat="1" ht="45.75" customHeight="1">
      <c r="A71" s="479" t="s">
        <v>143</v>
      </c>
      <c r="B71" s="438" t="s">
        <v>144</v>
      </c>
      <c r="C71" s="481"/>
      <c r="D71" s="1">
        <v>2019</v>
      </c>
      <c r="E71" s="26">
        <f t="shared" si="18"/>
        <v>0</v>
      </c>
      <c r="F71" s="26"/>
      <c r="G71" s="26">
        <f t="shared" si="19"/>
        <v>0</v>
      </c>
      <c r="H71" s="126"/>
      <c r="I71" s="26">
        <v>0</v>
      </c>
      <c r="J71" s="26">
        <v>0</v>
      </c>
      <c r="K71" s="34"/>
      <c r="L71" s="393"/>
      <c r="M71" s="23"/>
    </row>
    <row r="72" spans="1:13" s="70" customFormat="1" ht="52.5" customHeight="1">
      <c r="A72" s="480"/>
      <c r="B72" s="442"/>
      <c r="C72" s="482"/>
      <c r="D72" s="1">
        <v>2020</v>
      </c>
      <c r="E72" s="26">
        <f aca="true" t="shared" si="20" ref="E72:E77">F72+I72+J72+K72</f>
        <v>0</v>
      </c>
      <c r="F72" s="26"/>
      <c r="G72" s="26">
        <f aca="true" t="shared" si="21" ref="G72:G77">H72+I72</f>
        <v>0</v>
      </c>
      <c r="H72" s="126"/>
      <c r="I72" s="26">
        <v>0</v>
      </c>
      <c r="J72" s="26">
        <v>0</v>
      </c>
      <c r="K72" s="34"/>
      <c r="L72" s="393"/>
      <c r="M72" s="23"/>
    </row>
    <row r="73" spans="1:13" s="70" customFormat="1" ht="24.75" customHeight="1">
      <c r="A73" s="479" t="s">
        <v>200</v>
      </c>
      <c r="B73" s="438" t="s">
        <v>201</v>
      </c>
      <c r="C73" s="481"/>
      <c r="D73" s="1">
        <v>2019</v>
      </c>
      <c r="E73" s="26">
        <f t="shared" si="20"/>
        <v>42.5</v>
      </c>
      <c r="F73" s="26"/>
      <c r="G73" s="26">
        <f t="shared" si="21"/>
        <v>0</v>
      </c>
      <c r="H73" s="126"/>
      <c r="I73" s="26"/>
      <c r="J73" s="26">
        <v>42.5</v>
      </c>
      <c r="K73" s="34"/>
      <c r="L73" s="393" t="s">
        <v>256</v>
      </c>
      <c r="M73" s="23"/>
    </row>
    <row r="74" spans="1:13" s="70" customFormat="1" ht="24.75" customHeight="1">
      <c r="A74" s="485"/>
      <c r="B74" s="440"/>
      <c r="C74" s="502"/>
      <c r="D74" s="1">
        <v>2020</v>
      </c>
      <c r="E74" s="26">
        <f t="shared" si="20"/>
        <v>43.4</v>
      </c>
      <c r="F74" s="26"/>
      <c r="G74" s="26">
        <f t="shared" si="21"/>
        <v>0</v>
      </c>
      <c r="H74" s="126"/>
      <c r="I74" s="26"/>
      <c r="J74" s="26">
        <v>43.4</v>
      </c>
      <c r="K74" s="34"/>
      <c r="L74" s="393" t="s">
        <v>256</v>
      </c>
      <c r="M74" s="23"/>
    </row>
    <row r="75" spans="1:13" s="70" customFormat="1" ht="24.75" customHeight="1">
      <c r="A75" s="485"/>
      <c r="B75" s="440"/>
      <c r="C75" s="502"/>
      <c r="D75" s="1">
        <v>2021</v>
      </c>
      <c r="E75" s="26">
        <f t="shared" si="20"/>
        <v>43.4</v>
      </c>
      <c r="F75" s="26"/>
      <c r="G75" s="26">
        <f t="shared" si="21"/>
        <v>0</v>
      </c>
      <c r="H75" s="126"/>
      <c r="I75" s="26"/>
      <c r="J75" s="26">
        <v>43.4</v>
      </c>
      <c r="K75" s="34"/>
      <c r="L75" s="393"/>
      <c r="M75" s="23"/>
    </row>
    <row r="76" spans="1:13" s="70" customFormat="1" ht="24.75" customHeight="1">
      <c r="A76" s="485"/>
      <c r="B76" s="440"/>
      <c r="C76" s="502"/>
      <c r="D76" s="1">
        <v>2022</v>
      </c>
      <c r="E76" s="26">
        <f t="shared" si="20"/>
        <v>43.4</v>
      </c>
      <c r="F76" s="26"/>
      <c r="G76" s="26">
        <f t="shared" si="21"/>
        <v>0</v>
      </c>
      <c r="H76" s="126"/>
      <c r="I76" s="26"/>
      <c r="J76" s="26">
        <v>43.4</v>
      </c>
      <c r="K76" s="34"/>
      <c r="L76" s="393"/>
      <c r="M76" s="23"/>
    </row>
    <row r="77" spans="1:13" s="70" customFormat="1" ht="24.75" customHeight="1">
      <c r="A77" s="480"/>
      <c r="B77" s="442"/>
      <c r="C77" s="482"/>
      <c r="D77" s="1">
        <v>2023</v>
      </c>
      <c r="E77" s="26">
        <f t="shared" si="20"/>
        <v>43.4</v>
      </c>
      <c r="F77" s="26"/>
      <c r="G77" s="26">
        <f t="shared" si="21"/>
        <v>0</v>
      </c>
      <c r="H77" s="126"/>
      <c r="I77" s="26"/>
      <c r="J77" s="26">
        <v>43.4</v>
      </c>
      <c r="K77" s="34"/>
      <c r="L77" s="393"/>
      <c r="M77" s="23"/>
    </row>
    <row r="78" spans="1:13" s="70" customFormat="1" ht="24.75" customHeight="1">
      <c r="A78" s="501" t="s">
        <v>70</v>
      </c>
      <c r="B78" s="438" t="s">
        <v>71</v>
      </c>
      <c r="C78" s="481"/>
      <c r="D78" s="4">
        <v>2017</v>
      </c>
      <c r="E78" s="28">
        <f aca="true" t="shared" si="22" ref="E78:E84">F78+G78+J78+K78</f>
        <v>11</v>
      </c>
      <c r="F78" s="28"/>
      <c r="G78" s="29">
        <f aca="true" t="shared" si="23" ref="G78:G85">H78+I78</f>
        <v>0</v>
      </c>
      <c r="H78" s="30"/>
      <c r="I78" s="31">
        <v>0</v>
      </c>
      <c r="J78" s="31">
        <f>11</f>
        <v>11</v>
      </c>
      <c r="K78" s="32"/>
      <c r="L78" s="393" t="s">
        <v>5</v>
      </c>
      <c r="M78" s="476" t="s">
        <v>52</v>
      </c>
    </row>
    <row r="79" spans="1:13" s="70" customFormat="1" ht="24.75" customHeight="1">
      <c r="A79" s="501"/>
      <c r="B79" s="440"/>
      <c r="C79" s="502"/>
      <c r="D79" s="4">
        <v>2018</v>
      </c>
      <c r="E79" s="28">
        <f t="shared" si="22"/>
        <v>0</v>
      </c>
      <c r="F79" s="28"/>
      <c r="G79" s="29">
        <f t="shared" si="23"/>
        <v>0</v>
      </c>
      <c r="H79" s="30"/>
      <c r="I79" s="31">
        <v>0</v>
      </c>
      <c r="J79" s="31">
        <v>0</v>
      </c>
      <c r="K79" s="32"/>
      <c r="L79" s="393" t="s">
        <v>4</v>
      </c>
      <c r="M79" s="476"/>
    </row>
    <row r="80" spans="1:13" s="70" customFormat="1" ht="24.75" customHeight="1">
      <c r="A80" s="501"/>
      <c r="B80" s="440"/>
      <c r="C80" s="502"/>
      <c r="D80" s="4">
        <v>2019</v>
      </c>
      <c r="E80" s="28">
        <f t="shared" si="22"/>
        <v>0</v>
      </c>
      <c r="F80" s="28"/>
      <c r="G80" s="29">
        <f t="shared" si="23"/>
        <v>0</v>
      </c>
      <c r="H80" s="30"/>
      <c r="I80" s="31">
        <v>0</v>
      </c>
      <c r="J80" s="31">
        <v>0</v>
      </c>
      <c r="K80" s="32"/>
      <c r="L80" s="393" t="s">
        <v>4</v>
      </c>
      <c r="M80" s="476"/>
    </row>
    <row r="81" spans="1:13" s="70" customFormat="1" ht="24.75" customHeight="1">
      <c r="A81" s="501"/>
      <c r="B81" s="440"/>
      <c r="C81" s="502"/>
      <c r="D81" s="4">
        <v>2020</v>
      </c>
      <c r="E81" s="28">
        <f t="shared" si="22"/>
        <v>0</v>
      </c>
      <c r="F81" s="28"/>
      <c r="G81" s="29">
        <f t="shared" si="23"/>
        <v>0</v>
      </c>
      <c r="H81" s="30"/>
      <c r="I81" s="31">
        <v>0</v>
      </c>
      <c r="J81" s="31">
        <v>0</v>
      </c>
      <c r="K81" s="32"/>
      <c r="L81" s="393" t="s">
        <v>4</v>
      </c>
      <c r="M81" s="476"/>
    </row>
    <row r="82" spans="1:13" s="70" customFormat="1" ht="24.75" customHeight="1">
      <c r="A82" s="501"/>
      <c r="B82" s="440"/>
      <c r="C82" s="502"/>
      <c r="D82" s="4">
        <v>2021</v>
      </c>
      <c r="E82" s="28">
        <f>F82+G82+J82+K82</f>
        <v>0</v>
      </c>
      <c r="F82" s="28"/>
      <c r="G82" s="29">
        <f>H82+I82</f>
        <v>0</v>
      </c>
      <c r="H82" s="30"/>
      <c r="I82" s="31">
        <v>0</v>
      </c>
      <c r="J82" s="31">
        <v>0</v>
      </c>
      <c r="K82" s="32"/>
      <c r="L82" s="393"/>
      <c r="M82" s="476"/>
    </row>
    <row r="83" spans="1:13" s="70" customFormat="1" ht="24.75" customHeight="1">
      <c r="A83" s="501"/>
      <c r="B83" s="442"/>
      <c r="C83" s="482"/>
      <c r="D83" s="4">
        <v>2022</v>
      </c>
      <c r="E83" s="28">
        <f t="shared" si="22"/>
        <v>0</v>
      </c>
      <c r="F83" s="28"/>
      <c r="G83" s="29">
        <f t="shared" si="23"/>
        <v>0</v>
      </c>
      <c r="H83" s="30"/>
      <c r="I83" s="31">
        <v>0</v>
      </c>
      <c r="J83" s="31">
        <v>0</v>
      </c>
      <c r="K83" s="32"/>
      <c r="L83" s="393" t="s">
        <v>4</v>
      </c>
      <c r="M83" s="476"/>
    </row>
    <row r="84" spans="1:13" s="70" customFormat="1" ht="48" customHeight="1">
      <c r="A84" s="479" t="s">
        <v>72</v>
      </c>
      <c r="B84" s="638" t="s">
        <v>253</v>
      </c>
      <c r="C84" s="639"/>
      <c r="D84" s="4">
        <v>2017</v>
      </c>
      <c r="E84" s="24">
        <f t="shared" si="22"/>
        <v>34.265</v>
      </c>
      <c r="F84" s="24"/>
      <c r="G84" s="26">
        <f t="shared" si="23"/>
        <v>0</v>
      </c>
      <c r="H84" s="26"/>
      <c r="I84" s="26">
        <v>0</v>
      </c>
      <c r="J84" s="26">
        <f>100-13.94-51.795</f>
        <v>34.265</v>
      </c>
      <c r="K84" s="33"/>
      <c r="L84" s="393" t="s">
        <v>3</v>
      </c>
      <c r="M84" s="476" t="s">
        <v>51</v>
      </c>
    </row>
    <row r="85" spans="1:13" s="70" customFormat="1" ht="35.25" customHeight="1">
      <c r="A85" s="485"/>
      <c r="B85" s="640"/>
      <c r="C85" s="641"/>
      <c r="D85" s="431">
        <v>2018</v>
      </c>
      <c r="E85" s="475">
        <f>F85+G85+J85+K86</f>
        <v>22.85</v>
      </c>
      <c r="F85" s="475"/>
      <c r="G85" s="484">
        <f t="shared" si="23"/>
        <v>0</v>
      </c>
      <c r="H85" s="484"/>
      <c r="I85" s="484">
        <v>0</v>
      </c>
      <c r="J85" s="484">
        <f>5.5+9.25+8.1</f>
        <v>22.85</v>
      </c>
      <c r="K85" s="503"/>
      <c r="L85" s="505" t="s">
        <v>3</v>
      </c>
      <c r="M85" s="476"/>
    </row>
    <row r="86" spans="1:13" s="70" customFormat="1" ht="18.75" customHeight="1">
      <c r="A86" s="485"/>
      <c r="B86" s="640"/>
      <c r="C86" s="641"/>
      <c r="D86" s="431"/>
      <c r="E86" s="475"/>
      <c r="F86" s="475"/>
      <c r="G86" s="484"/>
      <c r="H86" s="484"/>
      <c r="I86" s="484"/>
      <c r="J86" s="484"/>
      <c r="K86" s="504"/>
      <c r="L86" s="505"/>
      <c r="M86" s="476"/>
    </row>
    <row r="87" spans="1:13" s="70" customFormat="1" ht="42.75" customHeight="1">
      <c r="A87" s="485"/>
      <c r="B87" s="640"/>
      <c r="C87" s="641"/>
      <c r="D87" s="4">
        <v>2019</v>
      </c>
      <c r="E87" s="24">
        <f aca="true" t="shared" si="24" ref="E87:E98">F87+G87+J87+K87</f>
        <v>35.1</v>
      </c>
      <c r="F87" s="26"/>
      <c r="G87" s="26">
        <f aca="true" t="shared" si="25" ref="G87:G98">H87+I87</f>
        <v>0</v>
      </c>
      <c r="H87" s="26"/>
      <c r="I87" s="26">
        <v>0</v>
      </c>
      <c r="J87" s="26">
        <f>22.85+12.25</f>
        <v>35.1</v>
      </c>
      <c r="K87" s="34"/>
      <c r="L87" s="393" t="s">
        <v>3</v>
      </c>
      <c r="M87" s="476"/>
    </row>
    <row r="88" spans="1:13" s="70" customFormat="1" ht="42" customHeight="1">
      <c r="A88" s="485"/>
      <c r="B88" s="640"/>
      <c r="C88" s="641"/>
      <c r="D88" s="4">
        <v>2020</v>
      </c>
      <c r="E88" s="24">
        <f>F88+G88+J88+K88</f>
        <v>48.0657</v>
      </c>
      <c r="F88" s="26"/>
      <c r="G88" s="26">
        <f>H88+I88</f>
        <v>0</v>
      </c>
      <c r="H88" s="26"/>
      <c r="I88" s="26">
        <v>0</v>
      </c>
      <c r="J88" s="26">
        <f>35.1+9.9657+3</f>
        <v>48.0657</v>
      </c>
      <c r="K88" s="34"/>
      <c r="L88" s="393" t="s">
        <v>3</v>
      </c>
      <c r="M88" s="23"/>
    </row>
    <row r="89" spans="1:13" s="70" customFormat="1" ht="46.5" customHeight="1">
      <c r="A89" s="485"/>
      <c r="B89" s="640"/>
      <c r="C89" s="641"/>
      <c r="D89" s="4">
        <v>2021</v>
      </c>
      <c r="E89" s="24">
        <f>F89+G89+J89+K89</f>
        <v>35.1</v>
      </c>
      <c r="F89" s="26"/>
      <c r="G89" s="26">
        <f>H89+I89</f>
        <v>0</v>
      </c>
      <c r="H89" s="26"/>
      <c r="I89" s="26">
        <v>0</v>
      </c>
      <c r="J89" s="26">
        <v>35.1</v>
      </c>
      <c r="K89" s="34"/>
      <c r="L89" s="393"/>
      <c r="M89" s="23"/>
    </row>
    <row r="90" spans="1:13" s="70" customFormat="1" ht="33.75" customHeight="1">
      <c r="A90" s="485"/>
      <c r="B90" s="640"/>
      <c r="C90" s="641"/>
      <c r="D90" s="4">
        <v>2022</v>
      </c>
      <c r="E90" s="24">
        <f t="shared" si="24"/>
        <v>35.1</v>
      </c>
      <c r="F90" s="26"/>
      <c r="G90" s="26">
        <f t="shared" si="25"/>
        <v>0</v>
      </c>
      <c r="H90" s="26"/>
      <c r="I90" s="26">
        <v>0</v>
      </c>
      <c r="J90" s="26">
        <v>35.1</v>
      </c>
      <c r="K90" s="34"/>
      <c r="L90" s="393" t="s">
        <v>3</v>
      </c>
      <c r="M90" s="23"/>
    </row>
    <row r="91" spans="1:13" s="70" customFormat="1" ht="33.75" customHeight="1">
      <c r="A91" s="480"/>
      <c r="B91" s="642"/>
      <c r="C91" s="643"/>
      <c r="D91" s="4">
        <v>2023</v>
      </c>
      <c r="E91" s="24">
        <f t="shared" si="24"/>
        <v>35.1</v>
      </c>
      <c r="F91" s="26"/>
      <c r="G91" s="26">
        <f t="shared" si="25"/>
        <v>0</v>
      </c>
      <c r="H91" s="26"/>
      <c r="I91" s="26">
        <v>0</v>
      </c>
      <c r="J91" s="26">
        <v>35.1</v>
      </c>
      <c r="K91" s="34"/>
      <c r="L91" s="393"/>
      <c r="M91" s="23"/>
    </row>
    <row r="92" spans="1:13" s="70" customFormat="1" ht="24.75" customHeight="1">
      <c r="A92" s="479" t="s">
        <v>73</v>
      </c>
      <c r="B92" s="438" t="s">
        <v>74</v>
      </c>
      <c r="C92" s="481"/>
      <c r="D92" s="4">
        <v>2017</v>
      </c>
      <c r="E92" s="24">
        <f t="shared" si="24"/>
        <v>65.3997</v>
      </c>
      <c r="F92" s="26"/>
      <c r="G92" s="26">
        <f t="shared" si="25"/>
        <v>0</v>
      </c>
      <c r="H92" s="126"/>
      <c r="I92" s="26">
        <v>0</v>
      </c>
      <c r="J92" s="26">
        <f>70-4.6003</f>
        <v>65.3997</v>
      </c>
      <c r="K92" s="27"/>
      <c r="L92" s="393" t="s">
        <v>5</v>
      </c>
      <c r="M92" s="476" t="s">
        <v>50</v>
      </c>
    </row>
    <row r="93" spans="1:13" s="70" customFormat="1" ht="24.75" customHeight="1">
      <c r="A93" s="485"/>
      <c r="B93" s="440"/>
      <c r="C93" s="502"/>
      <c r="D93" s="4">
        <v>2018</v>
      </c>
      <c r="E93" s="24">
        <f t="shared" si="24"/>
        <v>60</v>
      </c>
      <c r="F93" s="26"/>
      <c r="G93" s="24">
        <f t="shared" si="25"/>
        <v>0</v>
      </c>
      <c r="H93" s="25"/>
      <c r="I93" s="26">
        <v>0</v>
      </c>
      <c r="J93" s="26">
        <v>60</v>
      </c>
      <c r="K93" s="27"/>
      <c r="L93" s="393" t="s">
        <v>5</v>
      </c>
      <c r="M93" s="476"/>
    </row>
    <row r="94" spans="1:13" s="70" customFormat="1" ht="24.75" customHeight="1">
      <c r="A94" s="485"/>
      <c r="B94" s="440"/>
      <c r="C94" s="502"/>
      <c r="D94" s="4">
        <v>2019</v>
      </c>
      <c r="E94" s="24">
        <f t="shared" si="24"/>
        <v>79</v>
      </c>
      <c r="F94" s="26"/>
      <c r="G94" s="24">
        <f t="shared" si="25"/>
        <v>0</v>
      </c>
      <c r="H94" s="25"/>
      <c r="I94" s="26">
        <v>0</v>
      </c>
      <c r="J94" s="26">
        <f>60+19</f>
        <v>79</v>
      </c>
      <c r="K94" s="27"/>
      <c r="L94" s="393" t="s">
        <v>5</v>
      </c>
      <c r="M94" s="476"/>
    </row>
    <row r="95" spans="1:13" s="70" customFormat="1" ht="24.75" customHeight="1">
      <c r="A95" s="485"/>
      <c r="B95" s="440"/>
      <c r="C95" s="502"/>
      <c r="D95" s="4">
        <v>2020</v>
      </c>
      <c r="E95" s="24">
        <f>F95+G95+J95+K95</f>
        <v>101.781</v>
      </c>
      <c r="F95" s="26"/>
      <c r="G95" s="24">
        <f>H95+I95</f>
        <v>0</v>
      </c>
      <c r="H95" s="25"/>
      <c r="I95" s="26">
        <v>0</v>
      </c>
      <c r="J95" s="26">
        <f>60+1.781+40</f>
        <v>101.781</v>
      </c>
      <c r="K95" s="27"/>
      <c r="L95" s="393" t="s">
        <v>5</v>
      </c>
      <c r="M95" s="476"/>
    </row>
    <row r="96" spans="1:13" s="70" customFormat="1" ht="24.75" customHeight="1">
      <c r="A96" s="485"/>
      <c r="B96" s="440"/>
      <c r="C96" s="502"/>
      <c r="D96" s="4">
        <v>2021</v>
      </c>
      <c r="E96" s="24">
        <f>F96+G96+J96+K96</f>
        <v>60</v>
      </c>
      <c r="F96" s="26"/>
      <c r="G96" s="24">
        <f>H96+I96</f>
        <v>0</v>
      </c>
      <c r="H96" s="25"/>
      <c r="I96" s="26">
        <v>0</v>
      </c>
      <c r="J96" s="26">
        <v>60</v>
      </c>
      <c r="K96" s="27"/>
      <c r="L96" s="393"/>
      <c r="M96" s="476"/>
    </row>
    <row r="97" spans="1:13" s="70" customFormat="1" ht="24.75" customHeight="1">
      <c r="A97" s="485"/>
      <c r="B97" s="440"/>
      <c r="C97" s="502"/>
      <c r="D97" s="4">
        <v>2022</v>
      </c>
      <c r="E97" s="24">
        <f t="shared" si="24"/>
        <v>60</v>
      </c>
      <c r="F97" s="26"/>
      <c r="G97" s="24">
        <f t="shared" si="25"/>
        <v>0</v>
      </c>
      <c r="H97" s="25"/>
      <c r="I97" s="26">
        <v>0</v>
      </c>
      <c r="J97" s="26">
        <v>60</v>
      </c>
      <c r="K97" s="27"/>
      <c r="L97" s="393" t="s">
        <v>5</v>
      </c>
      <c r="M97" s="476"/>
    </row>
    <row r="98" spans="1:13" s="70" customFormat="1" ht="24.75" customHeight="1">
      <c r="A98" s="480"/>
      <c r="B98" s="442"/>
      <c r="C98" s="482"/>
      <c r="D98" s="4">
        <v>2023</v>
      </c>
      <c r="E98" s="24">
        <f t="shared" si="24"/>
        <v>60</v>
      </c>
      <c r="F98" s="26"/>
      <c r="G98" s="24">
        <f t="shared" si="25"/>
        <v>0</v>
      </c>
      <c r="H98" s="25"/>
      <c r="I98" s="26">
        <v>0</v>
      </c>
      <c r="J98" s="26">
        <v>60</v>
      </c>
      <c r="K98" s="290"/>
      <c r="L98" s="393"/>
      <c r="M98" s="23"/>
    </row>
    <row r="99" spans="1:13" s="70" customFormat="1" ht="24.75" customHeight="1">
      <c r="A99" s="501" t="s">
        <v>75</v>
      </c>
      <c r="B99" s="476" t="s">
        <v>76</v>
      </c>
      <c r="C99" s="476"/>
      <c r="D99" s="431">
        <v>2017</v>
      </c>
      <c r="E99" s="475">
        <f>F99+G99+J99+K99</f>
        <v>27.52</v>
      </c>
      <c r="F99" s="484"/>
      <c r="G99" s="506">
        <f>H99+I99</f>
        <v>0</v>
      </c>
      <c r="H99" s="475"/>
      <c r="I99" s="484">
        <v>0</v>
      </c>
      <c r="J99" s="484">
        <v>27.52</v>
      </c>
      <c r="K99" s="508"/>
      <c r="L99" s="505" t="s">
        <v>4</v>
      </c>
      <c r="M99" s="476" t="s">
        <v>49</v>
      </c>
    </row>
    <row r="100" spans="1:13" s="70" customFormat="1" ht="4.5" customHeight="1">
      <c r="A100" s="501"/>
      <c r="B100" s="476"/>
      <c r="C100" s="476"/>
      <c r="D100" s="431"/>
      <c r="E100" s="475"/>
      <c r="F100" s="484"/>
      <c r="G100" s="507"/>
      <c r="H100" s="475"/>
      <c r="I100" s="484"/>
      <c r="J100" s="484"/>
      <c r="K100" s="509"/>
      <c r="L100" s="505"/>
      <c r="M100" s="476"/>
    </row>
    <row r="101" spans="1:13" s="70" customFormat="1" ht="24.75" customHeight="1">
      <c r="A101" s="501"/>
      <c r="B101" s="476"/>
      <c r="C101" s="476"/>
      <c r="D101" s="4">
        <v>2018</v>
      </c>
      <c r="E101" s="24">
        <f aca="true" t="shared" si="26" ref="E101:E109">F101+G101+J101+K101</f>
        <v>28.369999999999997</v>
      </c>
      <c r="F101" s="26"/>
      <c r="G101" s="26">
        <f aca="true" t="shared" si="27" ref="G101:G137">H101+I101</f>
        <v>0</v>
      </c>
      <c r="H101" s="25"/>
      <c r="I101" s="26">
        <v>0</v>
      </c>
      <c r="J101" s="26">
        <f>70-41.63</f>
        <v>28.369999999999997</v>
      </c>
      <c r="K101" s="27"/>
      <c r="L101" s="393" t="s">
        <v>4</v>
      </c>
      <c r="M101" s="476"/>
    </row>
    <row r="102" spans="1:13" s="70" customFormat="1" ht="24.75" customHeight="1">
      <c r="A102" s="501"/>
      <c r="B102" s="476"/>
      <c r="C102" s="476"/>
      <c r="D102" s="4">
        <v>2019</v>
      </c>
      <c r="E102" s="24">
        <f t="shared" si="26"/>
        <v>28.37</v>
      </c>
      <c r="F102" s="26"/>
      <c r="G102" s="26">
        <f t="shared" si="27"/>
        <v>0</v>
      </c>
      <c r="H102" s="25"/>
      <c r="I102" s="26">
        <v>0</v>
      </c>
      <c r="J102" s="26">
        <v>28.37</v>
      </c>
      <c r="K102" s="27"/>
      <c r="L102" s="393" t="s">
        <v>4</v>
      </c>
      <c r="M102" s="476"/>
    </row>
    <row r="103" spans="1:13" s="70" customFormat="1" ht="24.75" customHeight="1">
      <c r="A103" s="501"/>
      <c r="B103" s="476"/>
      <c r="C103" s="476"/>
      <c r="D103" s="4">
        <v>2020</v>
      </c>
      <c r="E103" s="24">
        <f t="shared" si="26"/>
        <v>28.37</v>
      </c>
      <c r="F103" s="26"/>
      <c r="G103" s="26">
        <f t="shared" si="27"/>
        <v>0</v>
      </c>
      <c r="H103" s="25"/>
      <c r="I103" s="26">
        <v>0</v>
      </c>
      <c r="J103" s="26">
        <v>28.37</v>
      </c>
      <c r="K103" s="27"/>
      <c r="L103" s="393" t="s">
        <v>4</v>
      </c>
      <c r="M103" s="476"/>
    </row>
    <row r="104" spans="1:13" s="70" customFormat="1" ht="24.75" customHeight="1">
      <c r="A104" s="501"/>
      <c r="B104" s="476"/>
      <c r="C104" s="476"/>
      <c r="D104" s="4">
        <v>2021</v>
      </c>
      <c r="E104" s="24">
        <f>F104+G104+J104+K104</f>
        <v>28.37</v>
      </c>
      <c r="F104" s="26"/>
      <c r="G104" s="26">
        <f>H104+I104</f>
        <v>0</v>
      </c>
      <c r="H104" s="25"/>
      <c r="I104" s="26">
        <v>0</v>
      </c>
      <c r="J104" s="26">
        <v>28.37</v>
      </c>
      <c r="K104" s="27"/>
      <c r="L104" s="393" t="s">
        <v>4</v>
      </c>
      <c r="M104" s="476"/>
    </row>
    <row r="105" spans="1:13" s="70" customFormat="1" ht="24.75" customHeight="1">
      <c r="A105" s="501"/>
      <c r="B105" s="476"/>
      <c r="C105" s="476"/>
      <c r="D105" s="4">
        <v>2022</v>
      </c>
      <c r="E105" s="24">
        <f t="shared" si="26"/>
        <v>28.37</v>
      </c>
      <c r="F105" s="26"/>
      <c r="G105" s="26">
        <f t="shared" si="27"/>
        <v>0</v>
      </c>
      <c r="H105" s="25"/>
      <c r="I105" s="26">
        <v>0</v>
      </c>
      <c r="J105" s="26">
        <v>28.37</v>
      </c>
      <c r="K105" s="27"/>
      <c r="L105" s="393" t="s">
        <v>4</v>
      </c>
      <c r="M105" s="476"/>
    </row>
    <row r="106" spans="1:13" s="70" customFormat="1" ht="24.75" customHeight="1">
      <c r="A106" s="74"/>
      <c r="B106" s="276"/>
      <c r="C106" s="277"/>
      <c r="D106" s="4">
        <v>2023</v>
      </c>
      <c r="E106" s="24">
        <f t="shared" si="26"/>
        <v>28.37</v>
      </c>
      <c r="F106" s="26"/>
      <c r="G106" s="26">
        <f t="shared" si="27"/>
        <v>0</v>
      </c>
      <c r="H106" s="25"/>
      <c r="I106" s="26">
        <v>0</v>
      </c>
      <c r="J106" s="26">
        <v>28.37</v>
      </c>
      <c r="K106" s="27"/>
      <c r="L106" s="393"/>
      <c r="M106" s="247"/>
    </row>
    <row r="107" spans="1:13" s="70" customFormat="1" ht="24.75" customHeight="1">
      <c r="A107" s="479" t="s">
        <v>77</v>
      </c>
      <c r="B107" s="512" t="s">
        <v>165</v>
      </c>
      <c r="C107" s="513"/>
      <c r="D107" s="4">
        <v>2017</v>
      </c>
      <c r="E107" s="24">
        <f t="shared" si="26"/>
        <v>50</v>
      </c>
      <c r="F107" s="26"/>
      <c r="G107" s="26">
        <f t="shared" si="27"/>
        <v>50</v>
      </c>
      <c r="H107" s="36"/>
      <c r="I107" s="12">
        <v>50</v>
      </c>
      <c r="J107" s="26">
        <v>0</v>
      </c>
      <c r="K107" s="37"/>
      <c r="L107" s="393" t="s">
        <v>31</v>
      </c>
      <c r="M107" s="510" t="s">
        <v>48</v>
      </c>
    </row>
    <row r="108" spans="1:13" s="70" customFormat="1" ht="24.75" customHeight="1">
      <c r="A108" s="485"/>
      <c r="B108" s="514"/>
      <c r="C108" s="515"/>
      <c r="D108" s="4">
        <v>2018</v>
      </c>
      <c r="E108" s="24">
        <f t="shared" si="26"/>
        <v>0</v>
      </c>
      <c r="F108" s="26"/>
      <c r="G108" s="26">
        <f t="shared" si="27"/>
        <v>0</v>
      </c>
      <c r="H108" s="26"/>
      <c r="I108" s="26">
        <v>0</v>
      </c>
      <c r="J108" s="26">
        <v>0</v>
      </c>
      <c r="K108" s="37"/>
      <c r="L108" s="393"/>
      <c r="M108" s="511"/>
    </row>
    <row r="109" spans="1:13" s="70" customFormat="1" ht="24.75" customHeight="1">
      <c r="A109" s="485"/>
      <c r="B109" s="514"/>
      <c r="C109" s="515"/>
      <c r="D109" s="4">
        <v>2019</v>
      </c>
      <c r="E109" s="24">
        <f t="shared" si="26"/>
        <v>50</v>
      </c>
      <c r="F109" s="26"/>
      <c r="G109" s="26">
        <f t="shared" si="27"/>
        <v>50</v>
      </c>
      <c r="H109" s="26"/>
      <c r="I109" s="26">
        <v>50</v>
      </c>
      <c r="J109" s="26">
        <v>0</v>
      </c>
      <c r="K109" s="37"/>
      <c r="L109" s="393" t="s">
        <v>17</v>
      </c>
      <c r="M109" s="511"/>
    </row>
    <row r="110" spans="1:13" s="70" customFormat="1" ht="24.75" customHeight="1">
      <c r="A110" s="485"/>
      <c r="B110" s="514"/>
      <c r="C110" s="515"/>
      <c r="D110" s="4">
        <v>2020</v>
      </c>
      <c r="E110" s="24">
        <f>F110+G110+J110+K110</f>
        <v>0</v>
      </c>
      <c r="F110" s="26"/>
      <c r="G110" s="26">
        <f>H110+I110</f>
        <v>0</v>
      </c>
      <c r="H110" s="26"/>
      <c r="I110" s="26">
        <v>0</v>
      </c>
      <c r="J110" s="26">
        <v>0</v>
      </c>
      <c r="K110" s="37"/>
      <c r="L110" s="393"/>
      <c r="M110" s="511"/>
    </row>
    <row r="111" spans="1:13" s="70" customFormat="1" ht="24.75" customHeight="1">
      <c r="A111" s="485"/>
      <c r="B111" s="514"/>
      <c r="C111" s="515"/>
      <c r="D111" s="4">
        <v>2021</v>
      </c>
      <c r="E111" s="24">
        <f>F111+G111+J111+K111</f>
        <v>0</v>
      </c>
      <c r="F111" s="26"/>
      <c r="G111" s="26">
        <f>H111+I111</f>
        <v>0</v>
      </c>
      <c r="H111" s="26"/>
      <c r="I111" s="26">
        <v>0</v>
      </c>
      <c r="J111" s="26">
        <v>0</v>
      </c>
      <c r="K111" s="37"/>
      <c r="L111" s="393"/>
      <c r="M111" s="511"/>
    </row>
    <row r="112" spans="1:13" s="70" customFormat="1" ht="24.75" customHeight="1" thickBot="1">
      <c r="A112" s="426" t="s">
        <v>78</v>
      </c>
      <c r="B112" s="438" t="s">
        <v>79</v>
      </c>
      <c r="C112" s="439"/>
      <c r="D112" s="526">
        <v>2017</v>
      </c>
      <c r="E112" s="527">
        <f>F112+G112+J112+K112</f>
        <v>627.047</v>
      </c>
      <c r="F112" s="292"/>
      <c r="G112" s="293">
        <f t="shared" si="27"/>
        <v>0</v>
      </c>
      <c r="H112" s="294">
        <f>H113+H114+H115+H116+H117+H118</f>
        <v>0</v>
      </c>
      <c r="I112" s="293">
        <f>I113+I114+I115+I116+I117+I118</f>
        <v>0</v>
      </c>
      <c r="J112" s="293">
        <f>J113+J114+J115+J116+J117+J118</f>
        <v>627.047</v>
      </c>
      <c r="K112" s="293">
        <f>K113+K114+K115+K116+K117+K118</f>
        <v>0</v>
      </c>
      <c r="L112" s="407"/>
      <c r="M112" s="516" t="s">
        <v>63</v>
      </c>
    </row>
    <row r="113" spans="1:13" s="70" customFormat="1" ht="27" customHeight="1">
      <c r="A113" s="427"/>
      <c r="B113" s="440"/>
      <c r="C113" s="441"/>
      <c r="D113" s="518"/>
      <c r="E113" s="521"/>
      <c r="F113" s="120"/>
      <c r="G113" s="120">
        <f t="shared" si="27"/>
        <v>0</v>
      </c>
      <c r="H113" s="120"/>
      <c r="I113" s="108"/>
      <c r="J113" s="108">
        <f>50+13.94</f>
        <v>63.94</v>
      </c>
      <c r="K113" s="255"/>
      <c r="L113" s="398" t="s">
        <v>168</v>
      </c>
      <c r="M113" s="516"/>
    </row>
    <row r="114" spans="1:13" s="70" customFormat="1" ht="24.75" customHeight="1">
      <c r="A114" s="427"/>
      <c r="B114" s="440"/>
      <c r="C114" s="441"/>
      <c r="D114" s="518"/>
      <c r="E114" s="521"/>
      <c r="F114" s="24"/>
      <c r="G114" s="24">
        <f t="shared" si="27"/>
        <v>0</v>
      </c>
      <c r="H114" s="25"/>
      <c r="I114" s="26"/>
      <c r="J114" s="26">
        <v>113.23</v>
      </c>
      <c r="K114" s="27"/>
      <c r="L114" s="395" t="s">
        <v>15</v>
      </c>
      <c r="M114" s="516"/>
    </row>
    <row r="115" spans="1:13" s="70" customFormat="1" ht="24.75" customHeight="1">
      <c r="A115" s="427"/>
      <c r="B115" s="440"/>
      <c r="C115" s="441"/>
      <c r="D115" s="518"/>
      <c r="E115" s="521"/>
      <c r="F115" s="24"/>
      <c r="G115" s="24">
        <f t="shared" si="27"/>
        <v>0</v>
      </c>
      <c r="H115" s="25"/>
      <c r="I115" s="26"/>
      <c r="J115" s="26">
        <v>205.427</v>
      </c>
      <c r="K115" s="27"/>
      <c r="L115" s="395" t="s">
        <v>19</v>
      </c>
      <c r="M115" s="516"/>
    </row>
    <row r="116" spans="1:13" s="70" customFormat="1" ht="24.75" customHeight="1">
      <c r="A116" s="427"/>
      <c r="B116" s="440"/>
      <c r="C116" s="441"/>
      <c r="D116" s="518"/>
      <c r="E116" s="521"/>
      <c r="F116" s="24"/>
      <c r="G116" s="24">
        <f t="shared" si="27"/>
        <v>0</v>
      </c>
      <c r="H116" s="25"/>
      <c r="I116" s="26"/>
      <c r="J116" s="26">
        <v>13.23</v>
      </c>
      <c r="K116" s="27"/>
      <c r="L116" s="395" t="s">
        <v>12</v>
      </c>
      <c r="M116" s="516"/>
    </row>
    <row r="117" spans="1:13" s="70" customFormat="1" ht="24.75" customHeight="1">
      <c r="A117" s="427"/>
      <c r="B117" s="440"/>
      <c r="C117" s="441"/>
      <c r="D117" s="518"/>
      <c r="E117" s="521"/>
      <c r="F117" s="24"/>
      <c r="G117" s="24">
        <f t="shared" si="27"/>
        <v>0</v>
      </c>
      <c r="H117" s="25"/>
      <c r="I117" s="26"/>
      <c r="J117" s="26">
        <v>161.09</v>
      </c>
      <c r="K117" s="27"/>
      <c r="L117" s="395" t="s">
        <v>20</v>
      </c>
      <c r="M117" s="516"/>
    </row>
    <row r="118" spans="1:13" s="70" customFormat="1" ht="24.75" customHeight="1" thickBot="1">
      <c r="A118" s="427"/>
      <c r="B118" s="440"/>
      <c r="C118" s="441"/>
      <c r="D118" s="519"/>
      <c r="E118" s="522"/>
      <c r="F118" s="166"/>
      <c r="G118" s="166">
        <f t="shared" si="27"/>
        <v>0</v>
      </c>
      <c r="H118" s="253"/>
      <c r="I118" s="173"/>
      <c r="J118" s="173">
        <f>15.18+18+36.45+0.5</f>
        <v>70.13</v>
      </c>
      <c r="K118" s="254"/>
      <c r="L118" s="396" t="s">
        <v>21</v>
      </c>
      <c r="M118" s="516"/>
    </row>
    <row r="119" spans="1:13" s="70" customFormat="1" ht="24.75" customHeight="1" thickBot="1">
      <c r="A119" s="427"/>
      <c r="B119" s="440"/>
      <c r="C119" s="441"/>
      <c r="D119" s="517">
        <v>2018</v>
      </c>
      <c r="E119" s="520">
        <f>F119+G119+J119+K119</f>
        <v>2781.9159799999998</v>
      </c>
      <c r="F119" s="118"/>
      <c r="G119" s="123">
        <f t="shared" si="27"/>
        <v>0</v>
      </c>
      <c r="H119" s="123">
        <f>H120+H121+H122+H123+H124+H125+H126</f>
        <v>0</v>
      </c>
      <c r="I119" s="123">
        <f>I120+I121+I122+I123+I124+I125+I126</f>
        <v>0</v>
      </c>
      <c r="J119" s="123">
        <f>J120+J121+J122+J123+J124+J125+J126</f>
        <v>2781.9159799999998</v>
      </c>
      <c r="K119" s="123">
        <f>K120+K121+K122+K123+K124+K125+K126</f>
        <v>0</v>
      </c>
      <c r="L119" s="403"/>
      <c r="M119" s="516"/>
    </row>
    <row r="120" spans="1:13" s="70" customFormat="1" ht="26.25" customHeight="1">
      <c r="A120" s="427"/>
      <c r="B120" s="440"/>
      <c r="C120" s="441"/>
      <c r="D120" s="518"/>
      <c r="E120" s="521"/>
      <c r="F120" s="65"/>
      <c r="G120" s="116">
        <f t="shared" si="27"/>
        <v>0</v>
      </c>
      <c r="H120" s="65"/>
      <c r="I120" s="116"/>
      <c r="J120" s="116">
        <v>0</v>
      </c>
      <c r="K120" s="117"/>
      <c r="L120" s="398" t="s">
        <v>168</v>
      </c>
      <c r="M120" s="516"/>
    </row>
    <row r="121" spans="1:13" s="70" customFormat="1" ht="24.75" customHeight="1">
      <c r="A121" s="427"/>
      <c r="B121" s="440"/>
      <c r="C121" s="441"/>
      <c r="D121" s="518"/>
      <c r="E121" s="521"/>
      <c r="F121" s="10"/>
      <c r="G121" s="2">
        <f t="shared" si="27"/>
        <v>0</v>
      </c>
      <c r="H121" s="10"/>
      <c r="I121" s="2"/>
      <c r="J121" s="2">
        <f>12.64+1186-181.18-36.69771</f>
        <v>980.76229</v>
      </c>
      <c r="K121" s="11"/>
      <c r="L121" s="395" t="s">
        <v>15</v>
      </c>
      <c r="M121" s="516"/>
    </row>
    <row r="122" spans="1:13" s="70" customFormat="1" ht="24.75" customHeight="1">
      <c r="A122" s="427"/>
      <c r="B122" s="440"/>
      <c r="C122" s="441"/>
      <c r="D122" s="518"/>
      <c r="E122" s="521"/>
      <c r="F122" s="10"/>
      <c r="G122" s="2">
        <f t="shared" si="27"/>
        <v>0</v>
      </c>
      <c r="H122" s="10"/>
      <c r="I122" s="2"/>
      <c r="J122" s="2">
        <f>12.64+445+788.79-277.21131</f>
        <v>969.2186899999998</v>
      </c>
      <c r="K122" s="11"/>
      <c r="L122" s="395" t="s">
        <v>19</v>
      </c>
      <c r="M122" s="516"/>
    </row>
    <row r="123" spans="1:13" s="70" customFormat="1" ht="24.75" customHeight="1">
      <c r="A123" s="427"/>
      <c r="B123" s="440"/>
      <c r="C123" s="441"/>
      <c r="D123" s="518"/>
      <c r="E123" s="521"/>
      <c r="F123" s="10"/>
      <c r="G123" s="2">
        <f t="shared" si="27"/>
        <v>0</v>
      </c>
      <c r="H123" s="10"/>
      <c r="I123" s="2"/>
      <c r="J123" s="2">
        <f>12.64+437.6-55.429</f>
        <v>394.81100000000004</v>
      </c>
      <c r="K123" s="11"/>
      <c r="L123" s="395" t="s">
        <v>12</v>
      </c>
      <c r="M123" s="516"/>
    </row>
    <row r="124" spans="1:13" s="70" customFormat="1" ht="24.75" customHeight="1">
      <c r="A124" s="427"/>
      <c r="B124" s="440"/>
      <c r="C124" s="441"/>
      <c r="D124" s="518"/>
      <c r="E124" s="521"/>
      <c r="F124" s="10"/>
      <c r="G124" s="2">
        <f t="shared" si="27"/>
        <v>0</v>
      </c>
      <c r="H124" s="10"/>
      <c r="I124" s="2"/>
      <c r="J124" s="2">
        <f>30.36+107+120+26.184</f>
        <v>283.54400000000004</v>
      </c>
      <c r="K124" s="11"/>
      <c r="L124" s="395" t="s">
        <v>20</v>
      </c>
      <c r="M124" s="516"/>
    </row>
    <row r="125" spans="1:13" s="70" customFormat="1" ht="24.75" customHeight="1">
      <c r="A125" s="427"/>
      <c r="B125" s="440"/>
      <c r="C125" s="441"/>
      <c r="D125" s="518"/>
      <c r="E125" s="521"/>
      <c r="F125" s="10"/>
      <c r="G125" s="2">
        <f t="shared" si="27"/>
        <v>0</v>
      </c>
      <c r="H125" s="10"/>
      <c r="I125" s="2"/>
      <c r="J125" s="2">
        <f>15.18+165-26.6</f>
        <v>153.58</v>
      </c>
      <c r="K125" s="11"/>
      <c r="L125" s="395" t="s">
        <v>21</v>
      </c>
      <c r="M125" s="516"/>
    </row>
    <row r="126" spans="1:13" s="70" customFormat="1" ht="24.75" customHeight="1" thickBot="1">
      <c r="A126" s="427"/>
      <c r="B126" s="440"/>
      <c r="C126" s="441"/>
      <c r="D126" s="519"/>
      <c r="E126" s="522"/>
      <c r="F126" s="63"/>
      <c r="G126" s="256">
        <f t="shared" si="27"/>
        <v>0</v>
      </c>
      <c r="H126" s="63"/>
      <c r="I126" s="256"/>
      <c r="J126" s="256">
        <v>0</v>
      </c>
      <c r="K126" s="257"/>
      <c r="L126" s="396" t="s">
        <v>44</v>
      </c>
      <c r="M126" s="516"/>
    </row>
    <row r="127" spans="1:13" s="70" customFormat="1" ht="24.75" customHeight="1" thickBot="1">
      <c r="A127" s="427"/>
      <c r="B127" s="440"/>
      <c r="C127" s="441"/>
      <c r="D127" s="517">
        <v>2019</v>
      </c>
      <c r="E127" s="520">
        <f>F127+G127+J127+K127</f>
        <v>387.68000000000006</v>
      </c>
      <c r="F127" s="118">
        <f aca="true" t="shared" si="28" ref="F127:K127">SUM(F128:F134)</f>
        <v>0</v>
      </c>
      <c r="G127" s="123">
        <f t="shared" si="28"/>
        <v>0</v>
      </c>
      <c r="H127" s="123">
        <f t="shared" si="28"/>
        <v>0</v>
      </c>
      <c r="I127" s="123">
        <f t="shared" si="28"/>
        <v>0</v>
      </c>
      <c r="J127" s="123">
        <f t="shared" si="28"/>
        <v>387.68000000000006</v>
      </c>
      <c r="K127" s="123">
        <f t="shared" si="28"/>
        <v>0</v>
      </c>
      <c r="L127" s="403"/>
      <c r="M127" s="516"/>
    </row>
    <row r="128" spans="1:13" s="70" customFormat="1" ht="24.75" customHeight="1">
      <c r="A128" s="427"/>
      <c r="B128" s="440"/>
      <c r="C128" s="441"/>
      <c r="D128" s="518"/>
      <c r="E128" s="521"/>
      <c r="F128" s="65"/>
      <c r="G128" s="116">
        <f aca="true" t="shared" si="29" ref="G128:G134">H128+I128</f>
        <v>0</v>
      </c>
      <c r="H128" s="65"/>
      <c r="I128" s="116"/>
      <c r="J128" s="116">
        <v>0</v>
      </c>
      <c r="K128" s="117"/>
      <c r="L128" s="398" t="s">
        <v>168</v>
      </c>
      <c r="M128" s="516"/>
    </row>
    <row r="129" spans="1:13" s="70" customFormat="1" ht="24.75" customHeight="1">
      <c r="A129" s="427"/>
      <c r="B129" s="440"/>
      <c r="C129" s="441"/>
      <c r="D129" s="518"/>
      <c r="E129" s="521"/>
      <c r="F129" s="10"/>
      <c r="G129" s="2">
        <f t="shared" si="29"/>
        <v>0</v>
      </c>
      <c r="H129" s="10"/>
      <c r="I129" s="2"/>
      <c r="J129" s="2">
        <v>12.64</v>
      </c>
      <c r="K129" s="11"/>
      <c r="L129" s="395" t="s">
        <v>15</v>
      </c>
      <c r="M129" s="516"/>
    </row>
    <row r="130" spans="1:13" s="70" customFormat="1" ht="24.75" customHeight="1">
      <c r="A130" s="427"/>
      <c r="B130" s="440"/>
      <c r="C130" s="441"/>
      <c r="D130" s="518"/>
      <c r="E130" s="521"/>
      <c r="F130" s="10"/>
      <c r="G130" s="2">
        <f t="shared" si="29"/>
        <v>0</v>
      </c>
      <c r="H130" s="10"/>
      <c r="I130" s="2"/>
      <c r="J130" s="2">
        <v>12.64</v>
      </c>
      <c r="K130" s="11"/>
      <c r="L130" s="395" t="s">
        <v>19</v>
      </c>
      <c r="M130" s="516"/>
    </row>
    <row r="131" spans="1:13" s="70" customFormat="1" ht="24.75" customHeight="1">
      <c r="A131" s="427"/>
      <c r="B131" s="440"/>
      <c r="C131" s="441"/>
      <c r="D131" s="518"/>
      <c r="E131" s="521"/>
      <c r="F131" s="10"/>
      <c r="G131" s="2">
        <f t="shared" si="29"/>
        <v>0</v>
      </c>
      <c r="H131" s="10"/>
      <c r="I131" s="2"/>
      <c r="J131" s="2">
        <f>12.64+100</f>
        <v>112.64</v>
      </c>
      <c r="K131" s="11"/>
      <c r="L131" s="395" t="s">
        <v>12</v>
      </c>
      <c r="M131" s="516"/>
    </row>
    <row r="132" spans="1:13" s="70" customFormat="1" ht="24.75" customHeight="1">
      <c r="A132" s="427"/>
      <c r="B132" s="440"/>
      <c r="C132" s="441"/>
      <c r="D132" s="518"/>
      <c r="E132" s="521"/>
      <c r="F132" s="10"/>
      <c r="G132" s="2">
        <f t="shared" si="29"/>
        <v>0</v>
      </c>
      <c r="H132" s="10"/>
      <c r="I132" s="2"/>
      <c r="J132" s="2">
        <v>0</v>
      </c>
      <c r="K132" s="11"/>
      <c r="L132" s="395" t="s">
        <v>172</v>
      </c>
      <c r="M132" s="516"/>
    </row>
    <row r="133" spans="1:13" s="70" customFormat="1" ht="24.75" customHeight="1">
      <c r="A133" s="427"/>
      <c r="B133" s="440"/>
      <c r="C133" s="441"/>
      <c r="D133" s="518"/>
      <c r="E133" s="521"/>
      <c r="F133" s="10"/>
      <c r="G133" s="2">
        <f t="shared" si="29"/>
        <v>0</v>
      </c>
      <c r="H133" s="10"/>
      <c r="I133" s="2"/>
      <c r="J133" s="2">
        <f>30.36+100</f>
        <v>130.36</v>
      </c>
      <c r="K133" s="11"/>
      <c r="L133" s="395" t="s">
        <v>20</v>
      </c>
      <c r="M133" s="516"/>
    </row>
    <row r="134" spans="1:13" s="70" customFormat="1" ht="24.75" customHeight="1" thickBot="1">
      <c r="A134" s="427"/>
      <c r="B134" s="440"/>
      <c r="C134" s="441"/>
      <c r="D134" s="519"/>
      <c r="E134" s="522"/>
      <c r="F134" s="63"/>
      <c r="G134" s="256">
        <f t="shared" si="29"/>
        <v>0</v>
      </c>
      <c r="H134" s="63"/>
      <c r="I134" s="256"/>
      <c r="J134" s="256">
        <f>15.18+16.731+100-12.511</f>
        <v>119.4</v>
      </c>
      <c r="K134" s="257"/>
      <c r="L134" s="396" t="s">
        <v>21</v>
      </c>
      <c r="M134" s="516"/>
    </row>
    <row r="135" spans="1:13" s="70" customFormat="1" ht="26.25" customHeight="1" thickBot="1">
      <c r="A135" s="427"/>
      <c r="B135" s="440"/>
      <c r="C135" s="441"/>
      <c r="D135" s="517">
        <v>2020</v>
      </c>
      <c r="E135" s="520">
        <f>F135+G135+J135+K135</f>
        <v>155.12</v>
      </c>
      <c r="F135" s="118">
        <f aca="true" t="shared" si="30" ref="F135:K135">SUM(F137:F142)</f>
        <v>0</v>
      </c>
      <c r="G135" s="123">
        <f t="shared" si="30"/>
        <v>0</v>
      </c>
      <c r="H135" s="123">
        <f t="shared" si="30"/>
        <v>0</v>
      </c>
      <c r="I135" s="123">
        <f t="shared" si="30"/>
        <v>0</v>
      </c>
      <c r="J135" s="123">
        <f t="shared" si="30"/>
        <v>155.12</v>
      </c>
      <c r="K135" s="125">
        <f t="shared" si="30"/>
        <v>0</v>
      </c>
      <c r="L135" s="397"/>
      <c r="M135" s="516"/>
    </row>
    <row r="136" spans="1:13" s="70" customFormat="1" ht="21.75" customHeight="1">
      <c r="A136" s="427"/>
      <c r="B136" s="440"/>
      <c r="C136" s="441"/>
      <c r="D136" s="518"/>
      <c r="E136" s="521"/>
      <c r="F136" s="65"/>
      <c r="G136" s="116">
        <f t="shared" si="27"/>
        <v>0</v>
      </c>
      <c r="H136" s="65"/>
      <c r="I136" s="116"/>
      <c r="J136" s="116">
        <v>0</v>
      </c>
      <c r="K136" s="117"/>
      <c r="L136" s="395" t="s">
        <v>168</v>
      </c>
      <c r="M136" s="516"/>
    </row>
    <row r="137" spans="1:13" s="70" customFormat="1" ht="24.75" customHeight="1">
      <c r="A137" s="427"/>
      <c r="B137" s="440"/>
      <c r="C137" s="441"/>
      <c r="D137" s="518"/>
      <c r="E137" s="521"/>
      <c r="F137" s="10"/>
      <c r="G137" s="2">
        <f t="shared" si="27"/>
        <v>0</v>
      </c>
      <c r="H137" s="10"/>
      <c r="I137" s="2"/>
      <c r="J137" s="2">
        <v>29.64</v>
      </c>
      <c r="K137" s="11"/>
      <c r="L137" s="395" t="s">
        <v>15</v>
      </c>
      <c r="M137" s="516"/>
    </row>
    <row r="138" spans="1:13" s="70" customFormat="1" ht="24.75" customHeight="1">
      <c r="A138" s="427"/>
      <c r="B138" s="440"/>
      <c r="C138" s="441"/>
      <c r="D138" s="518"/>
      <c r="E138" s="521"/>
      <c r="F138" s="10"/>
      <c r="G138" s="2">
        <f>H138+I138</f>
        <v>0</v>
      </c>
      <c r="H138" s="10"/>
      <c r="I138" s="2"/>
      <c r="J138" s="2">
        <v>29.64</v>
      </c>
      <c r="K138" s="11"/>
      <c r="L138" s="395" t="s">
        <v>19</v>
      </c>
      <c r="M138" s="516"/>
    </row>
    <row r="139" spans="1:13" s="70" customFormat="1" ht="24.75" customHeight="1">
      <c r="A139" s="427"/>
      <c r="B139" s="440"/>
      <c r="C139" s="441"/>
      <c r="D139" s="518"/>
      <c r="E139" s="521"/>
      <c r="F139" s="10"/>
      <c r="G139" s="2">
        <f>H139+I139</f>
        <v>0</v>
      </c>
      <c r="H139" s="10"/>
      <c r="I139" s="2"/>
      <c r="J139" s="2">
        <v>29.64</v>
      </c>
      <c r="K139" s="11"/>
      <c r="L139" s="395" t="s">
        <v>12</v>
      </c>
      <c r="M139" s="516"/>
    </row>
    <row r="140" spans="1:13" s="70" customFormat="1" ht="24.75" customHeight="1">
      <c r="A140" s="427"/>
      <c r="B140" s="440"/>
      <c r="C140" s="441"/>
      <c r="D140" s="518"/>
      <c r="E140" s="521"/>
      <c r="F140" s="10"/>
      <c r="G140" s="2">
        <f>H140+I140</f>
        <v>0</v>
      </c>
      <c r="H140" s="10"/>
      <c r="I140" s="2"/>
      <c r="J140" s="2">
        <v>0</v>
      </c>
      <c r="K140" s="11"/>
      <c r="L140" s="395" t="s">
        <v>172</v>
      </c>
      <c r="M140" s="516"/>
    </row>
    <row r="141" spans="1:13" s="70" customFormat="1" ht="24.75" customHeight="1">
      <c r="A141" s="427"/>
      <c r="B141" s="440"/>
      <c r="C141" s="441"/>
      <c r="D141" s="518"/>
      <c r="E141" s="521"/>
      <c r="F141" s="10"/>
      <c r="G141" s="2">
        <f>H141+I141</f>
        <v>0</v>
      </c>
      <c r="H141" s="10"/>
      <c r="I141" s="2"/>
      <c r="J141" s="2">
        <v>33.6</v>
      </c>
      <c r="K141" s="11"/>
      <c r="L141" s="395" t="s">
        <v>20</v>
      </c>
      <c r="M141" s="516"/>
    </row>
    <row r="142" spans="1:13" s="70" customFormat="1" ht="24.75" customHeight="1" thickBot="1">
      <c r="A142" s="427"/>
      <c r="B142" s="440"/>
      <c r="C142" s="441"/>
      <c r="D142" s="519"/>
      <c r="E142" s="522"/>
      <c r="F142" s="63"/>
      <c r="G142" s="256">
        <f>H142+I142</f>
        <v>0</v>
      </c>
      <c r="H142" s="63"/>
      <c r="I142" s="256"/>
      <c r="J142" s="256">
        <v>32.6</v>
      </c>
      <c r="K142" s="257"/>
      <c r="L142" s="396" t="s">
        <v>21</v>
      </c>
      <c r="M142" s="516"/>
    </row>
    <row r="143" spans="1:13" s="70" customFormat="1" ht="24.75" customHeight="1" thickBot="1">
      <c r="A143" s="427"/>
      <c r="B143" s="440"/>
      <c r="C143" s="441"/>
      <c r="D143" s="517">
        <v>2021</v>
      </c>
      <c r="E143" s="520">
        <f>F143+G143+J143+K143</f>
        <v>193.572</v>
      </c>
      <c r="F143" s="123">
        <f>SUM(F144:F150)</f>
        <v>0</v>
      </c>
      <c r="G143" s="123">
        <f>SUM(G144:G150)</f>
        <v>0</v>
      </c>
      <c r="H143" s="123">
        <f>SUM(H144:H150)</f>
        <v>0</v>
      </c>
      <c r="I143" s="123">
        <f>SUM(I144:I150)</f>
        <v>0</v>
      </c>
      <c r="J143" s="123">
        <f>SUM(J144:J150)</f>
        <v>193.572</v>
      </c>
      <c r="K143" s="124"/>
      <c r="L143" s="188"/>
      <c r="M143" s="516"/>
    </row>
    <row r="144" spans="1:13" s="70" customFormat="1" ht="24.75" customHeight="1">
      <c r="A144" s="427"/>
      <c r="B144" s="440"/>
      <c r="C144" s="441"/>
      <c r="D144" s="518"/>
      <c r="E144" s="521"/>
      <c r="F144" s="65"/>
      <c r="G144" s="116"/>
      <c r="H144" s="65"/>
      <c r="I144" s="116"/>
      <c r="J144" s="116">
        <v>0</v>
      </c>
      <c r="K144" s="117"/>
      <c r="L144" s="398" t="s">
        <v>168</v>
      </c>
      <c r="M144" s="516"/>
    </row>
    <row r="145" spans="1:13" s="70" customFormat="1" ht="24.75" customHeight="1">
      <c r="A145" s="427"/>
      <c r="B145" s="440"/>
      <c r="C145" s="441"/>
      <c r="D145" s="518"/>
      <c r="E145" s="521"/>
      <c r="F145" s="10"/>
      <c r="G145" s="2"/>
      <c r="H145" s="10"/>
      <c r="I145" s="2"/>
      <c r="J145" s="2">
        <v>31.404</v>
      </c>
      <c r="K145" s="11"/>
      <c r="L145" s="395" t="s">
        <v>15</v>
      </c>
      <c r="M145" s="516"/>
    </row>
    <row r="146" spans="1:13" s="70" customFormat="1" ht="24.75" customHeight="1">
      <c r="A146" s="427"/>
      <c r="B146" s="440"/>
      <c r="C146" s="441"/>
      <c r="D146" s="518"/>
      <c r="E146" s="521"/>
      <c r="F146" s="10"/>
      <c r="G146" s="2"/>
      <c r="H146" s="10"/>
      <c r="I146" s="2"/>
      <c r="J146" s="2">
        <v>31.404</v>
      </c>
      <c r="K146" s="11"/>
      <c r="L146" s="395" t="s">
        <v>19</v>
      </c>
      <c r="M146" s="516"/>
    </row>
    <row r="147" spans="1:13" s="70" customFormat="1" ht="24.75" customHeight="1">
      <c r="A147" s="427"/>
      <c r="B147" s="440"/>
      <c r="C147" s="441"/>
      <c r="D147" s="518"/>
      <c r="E147" s="521"/>
      <c r="F147" s="10"/>
      <c r="G147" s="2"/>
      <c r="H147" s="10"/>
      <c r="I147" s="2"/>
      <c r="J147" s="2">
        <v>31.404</v>
      </c>
      <c r="K147" s="11"/>
      <c r="L147" s="395" t="s">
        <v>12</v>
      </c>
      <c r="M147" s="516"/>
    </row>
    <row r="148" spans="1:13" s="70" customFormat="1" ht="24.75" customHeight="1">
      <c r="A148" s="427"/>
      <c r="B148" s="440"/>
      <c r="C148" s="441"/>
      <c r="D148" s="518"/>
      <c r="E148" s="521"/>
      <c r="F148" s="2"/>
      <c r="G148" s="2"/>
      <c r="H148" s="10"/>
      <c r="I148" s="2"/>
      <c r="J148" s="2">
        <v>30.48</v>
      </c>
      <c r="K148" s="11"/>
      <c r="L148" s="395" t="s">
        <v>172</v>
      </c>
      <c r="M148" s="516"/>
    </row>
    <row r="149" spans="1:13" s="70" customFormat="1" ht="24.75" customHeight="1">
      <c r="A149" s="427"/>
      <c r="B149" s="440"/>
      <c r="C149" s="441"/>
      <c r="D149" s="518"/>
      <c r="E149" s="521"/>
      <c r="F149" s="10"/>
      <c r="G149" s="2"/>
      <c r="H149" s="10"/>
      <c r="I149" s="2"/>
      <c r="J149" s="2">
        <v>34.44</v>
      </c>
      <c r="K149" s="11"/>
      <c r="L149" s="395" t="s">
        <v>20</v>
      </c>
      <c r="M149" s="516"/>
    </row>
    <row r="150" spans="1:13" s="70" customFormat="1" ht="24.75" customHeight="1" thickBot="1">
      <c r="A150" s="427"/>
      <c r="B150" s="440"/>
      <c r="C150" s="441"/>
      <c r="D150" s="519"/>
      <c r="E150" s="522"/>
      <c r="F150" s="63"/>
      <c r="G150" s="256"/>
      <c r="H150" s="63"/>
      <c r="I150" s="256"/>
      <c r="J150" s="256">
        <v>34.44</v>
      </c>
      <c r="K150" s="257"/>
      <c r="L150" s="396" t="s">
        <v>21</v>
      </c>
      <c r="M150" s="516"/>
    </row>
    <row r="151" spans="1:13" s="70" customFormat="1" ht="24.75" customHeight="1" thickBot="1">
      <c r="A151" s="427"/>
      <c r="B151" s="440"/>
      <c r="C151" s="441"/>
      <c r="D151" s="655">
        <v>2022</v>
      </c>
      <c r="E151" s="313">
        <f>F151+G151+J151+K151</f>
        <v>193.572</v>
      </c>
      <c r="F151" s="296">
        <f>SUM(F152:F158)</f>
        <v>0</v>
      </c>
      <c r="G151" s="258">
        <f>SUM(G152:G158)</f>
        <v>0</v>
      </c>
      <c r="H151" s="258">
        <f>SUM(H152:H158)</f>
        <v>0</v>
      </c>
      <c r="I151" s="258">
        <f>SUM(I152:I158)</f>
        <v>0</v>
      </c>
      <c r="J151" s="258">
        <f>SUM(J152:J158)</f>
        <v>193.572</v>
      </c>
      <c r="K151" s="259"/>
      <c r="L151" s="399"/>
      <c r="M151" s="516"/>
    </row>
    <row r="152" spans="1:13" s="70" customFormat="1" ht="24.75" customHeight="1">
      <c r="A152" s="427"/>
      <c r="B152" s="440"/>
      <c r="C152" s="441"/>
      <c r="D152" s="430"/>
      <c r="E152" s="654"/>
      <c r="F152" s="65"/>
      <c r="G152" s="116"/>
      <c r="H152" s="65"/>
      <c r="I152" s="116"/>
      <c r="J152" s="116">
        <v>0</v>
      </c>
      <c r="K152" s="260"/>
      <c r="L152" s="400" t="s">
        <v>168</v>
      </c>
      <c r="M152" s="516"/>
    </row>
    <row r="153" spans="1:13" s="70" customFormat="1" ht="24.75" customHeight="1">
      <c r="A153" s="427"/>
      <c r="B153" s="440"/>
      <c r="C153" s="441"/>
      <c r="D153" s="430"/>
      <c r="E153" s="653"/>
      <c r="F153" s="10"/>
      <c r="G153" s="2"/>
      <c r="H153" s="10"/>
      <c r="I153" s="2"/>
      <c r="J153" s="2">
        <v>31.404</v>
      </c>
      <c r="K153" s="261"/>
      <c r="L153" s="401" t="s">
        <v>15</v>
      </c>
      <c r="M153" s="516"/>
    </row>
    <row r="154" spans="1:13" s="70" customFormat="1" ht="24.75" customHeight="1">
      <c r="A154" s="427"/>
      <c r="B154" s="440"/>
      <c r="C154" s="441"/>
      <c r="D154" s="430"/>
      <c r="E154" s="653"/>
      <c r="F154" s="10"/>
      <c r="G154" s="2"/>
      <c r="H154" s="10"/>
      <c r="I154" s="2"/>
      <c r="J154" s="2">
        <v>31.404</v>
      </c>
      <c r="K154" s="261"/>
      <c r="L154" s="401" t="s">
        <v>19</v>
      </c>
      <c r="M154" s="516"/>
    </row>
    <row r="155" spans="1:13" s="70" customFormat="1" ht="24.75" customHeight="1">
      <c r="A155" s="427"/>
      <c r="B155" s="440"/>
      <c r="C155" s="441"/>
      <c r="D155" s="430"/>
      <c r="E155" s="653"/>
      <c r="F155" s="10"/>
      <c r="G155" s="2"/>
      <c r="H155" s="10"/>
      <c r="I155" s="2"/>
      <c r="J155" s="2">
        <v>31.404</v>
      </c>
      <c r="K155" s="261"/>
      <c r="L155" s="401" t="s">
        <v>12</v>
      </c>
      <c r="M155" s="516"/>
    </row>
    <row r="156" spans="1:13" s="70" customFormat="1" ht="24.75" customHeight="1">
      <c r="A156" s="427"/>
      <c r="B156" s="440"/>
      <c r="C156" s="441"/>
      <c r="D156" s="430"/>
      <c r="E156" s="653"/>
      <c r="F156" s="10"/>
      <c r="G156" s="2"/>
      <c r="H156" s="10"/>
      <c r="I156" s="2"/>
      <c r="J156" s="2">
        <v>30.48</v>
      </c>
      <c r="K156" s="261"/>
      <c r="L156" s="401" t="s">
        <v>172</v>
      </c>
      <c r="M156" s="516"/>
    </row>
    <row r="157" spans="1:13" s="70" customFormat="1" ht="24.75" customHeight="1">
      <c r="A157" s="427"/>
      <c r="B157" s="440"/>
      <c r="C157" s="441"/>
      <c r="D157" s="430"/>
      <c r="E157" s="653"/>
      <c r="F157" s="10"/>
      <c r="G157" s="2"/>
      <c r="H157" s="10"/>
      <c r="I157" s="2"/>
      <c r="J157" s="2">
        <v>34.44</v>
      </c>
      <c r="K157" s="261"/>
      <c r="L157" s="401" t="s">
        <v>20</v>
      </c>
      <c r="M157" s="516"/>
    </row>
    <row r="158" spans="1:13" s="70" customFormat="1" ht="24.75" customHeight="1" thickBot="1">
      <c r="A158" s="427"/>
      <c r="B158" s="440"/>
      <c r="C158" s="441"/>
      <c r="D158" s="430"/>
      <c r="E158" s="653"/>
      <c r="F158" s="115"/>
      <c r="G158" s="56"/>
      <c r="H158" s="115"/>
      <c r="I158" s="56"/>
      <c r="J158" s="256">
        <v>34.44</v>
      </c>
      <c r="K158" s="262"/>
      <c r="L158" s="402" t="s">
        <v>21</v>
      </c>
      <c r="M158" s="516"/>
    </row>
    <row r="159" spans="1:13" s="70" customFormat="1" ht="24.75" customHeight="1" thickBot="1">
      <c r="A159" s="427"/>
      <c r="B159" s="440"/>
      <c r="C159" s="441"/>
      <c r="D159" s="429">
        <v>2023</v>
      </c>
      <c r="E159" s="118">
        <f>F159+G159+J159+K159</f>
        <v>193.572</v>
      </c>
      <c r="F159" s="119">
        <f>SUM(F160:F165)</f>
        <v>0</v>
      </c>
      <c r="G159" s="119">
        <f>H159+I159</f>
        <v>0</v>
      </c>
      <c r="H159" s="119">
        <f>SUM(H160:H165)</f>
        <v>0</v>
      </c>
      <c r="I159" s="119">
        <f>SUM(I160:I165)</f>
        <v>0</v>
      </c>
      <c r="J159" s="119">
        <f>SUM(J160:J165)</f>
        <v>193.572</v>
      </c>
      <c r="K159" s="298"/>
      <c r="L159" s="403"/>
      <c r="M159" s="516"/>
    </row>
    <row r="160" spans="1:13" s="70" customFormat="1" ht="24.75" customHeight="1">
      <c r="A160" s="427"/>
      <c r="B160" s="440"/>
      <c r="C160" s="441"/>
      <c r="D160" s="430"/>
      <c r="E160" s="653"/>
      <c r="F160" s="65"/>
      <c r="G160" s="116"/>
      <c r="H160" s="65"/>
      <c r="I160" s="116"/>
      <c r="J160" s="2">
        <v>31.404</v>
      </c>
      <c r="K160" s="260"/>
      <c r="L160" s="404" t="s">
        <v>15</v>
      </c>
      <c r="M160" s="516"/>
    </row>
    <row r="161" spans="1:13" s="70" customFormat="1" ht="24.75" customHeight="1">
      <c r="A161" s="427"/>
      <c r="B161" s="440"/>
      <c r="C161" s="441"/>
      <c r="D161" s="430"/>
      <c r="E161" s="653"/>
      <c r="F161" s="10"/>
      <c r="G161" s="2"/>
      <c r="H161" s="10"/>
      <c r="I161" s="2"/>
      <c r="J161" s="2">
        <v>31.404</v>
      </c>
      <c r="K161" s="261"/>
      <c r="L161" s="401" t="s">
        <v>19</v>
      </c>
      <c r="M161" s="516"/>
    </row>
    <row r="162" spans="1:13" s="70" customFormat="1" ht="24.75" customHeight="1">
      <c r="A162" s="427"/>
      <c r="B162" s="440"/>
      <c r="C162" s="441"/>
      <c r="D162" s="430"/>
      <c r="E162" s="653"/>
      <c r="F162" s="10"/>
      <c r="G162" s="2"/>
      <c r="H162" s="10"/>
      <c r="I162" s="2"/>
      <c r="J162" s="2">
        <v>31.404</v>
      </c>
      <c r="K162" s="261"/>
      <c r="L162" s="401" t="s">
        <v>12</v>
      </c>
      <c r="M162" s="516"/>
    </row>
    <row r="163" spans="1:13" s="70" customFormat="1" ht="24.75" customHeight="1">
      <c r="A163" s="427"/>
      <c r="B163" s="440"/>
      <c r="C163" s="441"/>
      <c r="D163" s="430"/>
      <c r="E163" s="653"/>
      <c r="F163" s="10"/>
      <c r="G163" s="2"/>
      <c r="H163" s="10"/>
      <c r="I163" s="2"/>
      <c r="J163" s="2">
        <v>30.48</v>
      </c>
      <c r="K163" s="261"/>
      <c r="L163" s="401" t="s">
        <v>172</v>
      </c>
      <c r="M163" s="516"/>
    </row>
    <row r="164" spans="1:13" s="70" customFormat="1" ht="24.75" customHeight="1">
      <c r="A164" s="427"/>
      <c r="B164" s="440"/>
      <c r="C164" s="441"/>
      <c r="D164" s="430"/>
      <c r="E164" s="653"/>
      <c r="F164" s="10"/>
      <c r="G164" s="2"/>
      <c r="H164" s="10"/>
      <c r="I164" s="2"/>
      <c r="J164" s="2">
        <v>34.44</v>
      </c>
      <c r="K164" s="261"/>
      <c r="L164" s="401" t="s">
        <v>20</v>
      </c>
      <c r="M164" s="516"/>
    </row>
    <row r="165" spans="1:13" s="70" customFormat="1" ht="24.75" customHeight="1" thickBot="1">
      <c r="A165" s="428"/>
      <c r="B165" s="442"/>
      <c r="C165" s="443"/>
      <c r="D165" s="430"/>
      <c r="E165" s="653"/>
      <c r="F165" s="115"/>
      <c r="G165" s="56"/>
      <c r="H165" s="115"/>
      <c r="I165" s="56"/>
      <c r="J165" s="256">
        <v>34.44</v>
      </c>
      <c r="K165" s="297"/>
      <c r="L165" s="359" t="s">
        <v>21</v>
      </c>
      <c r="M165" s="516"/>
    </row>
    <row r="166" spans="1:13" s="70" customFormat="1" ht="27.75" customHeight="1" thickBot="1">
      <c r="A166" s="539" t="s">
        <v>80</v>
      </c>
      <c r="B166" s="535" t="s">
        <v>125</v>
      </c>
      <c r="C166" s="536"/>
      <c r="D166" s="528">
        <v>2019</v>
      </c>
      <c r="E166" s="523">
        <f>F166+G166+J166+K166</f>
        <v>47.04</v>
      </c>
      <c r="F166" s="319">
        <f>SUM(F167:F172)</f>
        <v>0</v>
      </c>
      <c r="G166" s="119">
        <f>H166+I166</f>
        <v>0</v>
      </c>
      <c r="H166" s="123">
        <f>SUM(H167:H172)</f>
        <v>0</v>
      </c>
      <c r="I166" s="123">
        <f>SUM(I167:I172)</f>
        <v>0</v>
      </c>
      <c r="J166" s="123">
        <f>SUM(J167:J172)</f>
        <v>47.04</v>
      </c>
      <c r="K166" s="124"/>
      <c r="L166" s="399"/>
      <c r="M166" s="516"/>
    </row>
    <row r="167" spans="1:13" s="70" customFormat="1" ht="24.75" customHeight="1">
      <c r="A167" s="540"/>
      <c r="B167" s="537"/>
      <c r="C167" s="538"/>
      <c r="D167" s="529"/>
      <c r="E167" s="524"/>
      <c r="F167" s="320"/>
      <c r="G167" s="116">
        <f aca="true" t="shared" si="31" ref="G167:G188">H167+I167</f>
        <v>0</v>
      </c>
      <c r="H167" s="65"/>
      <c r="I167" s="116"/>
      <c r="J167" s="116">
        <v>4.5</v>
      </c>
      <c r="K167" s="117"/>
      <c r="L167" s="398" t="s">
        <v>126</v>
      </c>
      <c r="M167" s="516"/>
    </row>
    <row r="168" spans="1:13" s="70" customFormat="1" ht="24.75" customHeight="1">
      <c r="A168" s="540"/>
      <c r="B168" s="537"/>
      <c r="C168" s="538"/>
      <c r="D168" s="529"/>
      <c r="E168" s="524"/>
      <c r="F168" s="321"/>
      <c r="G168" s="2">
        <f t="shared" si="31"/>
        <v>0</v>
      </c>
      <c r="H168" s="10"/>
      <c r="I168" s="2"/>
      <c r="J168" s="2">
        <v>6</v>
      </c>
      <c r="K168" s="11"/>
      <c r="L168" s="395" t="s">
        <v>127</v>
      </c>
      <c r="M168" s="516"/>
    </row>
    <row r="169" spans="1:13" s="70" customFormat="1" ht="24.75" customHeight="1">
      <c r="A169" s="540"/>
      <c r="B169" s="537"/>
      <c r="C169" s="538"/>
      <c r="D169" s="529"/>
      <c r="E169" s="524"/>
      <c r="F169" s="321"/>
      <c r="G169" s="2">
        <f t="shared" si="31"/>
        <v>0</v>
      </c>
      <c r="H169" s="10"/>
      <c r="I169" s="2"/>
      <c r="J169" s="2">
        <v>4.5</v>
      </c>
      <c r="K169" s="11"/>
      <c r="L169" s="395" t="s">
        <v>128</v>
      </c>
      <c r="M169" s="516"/>
    </row>
    <row r="170" spans="1:13" s="70" customFormat="1" ht="24.75" customHeight="1">
      <c r="A170" s="540"/>
      <c r="B170" s="537"/>
      <c r="C170" s="538"/>
      <c r="D170" s="529"/>
      <c r="E170" s="524"/>
      <c r="F170" s="321"/>
      <c r="G170" s="2">
        <f t="shared" si="31"/>
        <v>0</v>
      </c>
      <c r="H170" s="10"/>
      <c r="I170" s="2"/>
      <c r="J170" s="2">
        <v>20.04</v>
      </c>
      <c r="K170" s="11"/>
      <c r="L170" s="395" t="s">
        <v>44</v>
      </c>
      <c r="M170" s="516"/>
    </row>
    <row r="171" spans="1:13" s="70" customFormat="1" ht="24.75" customHeight="1">
      <c r="A171" s="540"/>
      <c r="B171" s="537"/>
      <c r="C171" s="538"/>
      <c r="D171" s="529"/>
      <c r="E171" s="524"/>
      <c r="F171" s="321"/>
      <c r="G171" s="2">
        <f t="shared" si="31"/>
        <v>0</v>
      </c>
      <c r="H171" s="10"/>
      <c r="I171" s="2"/>
      <c r="J171" s="2">
        <v>12</v>
      </c>
      <c r="K171" s="11"/>
      <c r="L171" s="395" t="s">
        <v>3</v>
      </c>
      <c r="M171" s="516"/>
    </row>
    <row r="172" spans="1:13" s="70" customFormat="1" ht="24.75" customHeight="1" thickBot="1">
      <c r="A172" s="540"/>
      <c r="B172" s="537"/>
      <c r="C172" s="538"/>
      <c r="D172" s="545"/>
      <c r="E172" s="525"/>
      <c r="F172" s="322"/>
      <c r="G172" s="256">
        <f t="shared" si="31"/>
        <v>0</v>
      </c>
      <c r="H172" s="63"/>
      <c r="I172" s="256"/>
      <c r="J172" s="256">
        <v>0</v>
      </c>
      <c r="K172" s="257"/>
      <c r="L172" s="396"/>
      <c r="M172" s="516"/>
    </row>
    <row r="173" spans="1:13" s="70" customFormat="1" ht="24.75" customHeight="1" thickBot="1">
      <c r="A173" s="540"/>
      <c r="B173" s="537"/>
      <c r="C173" s="538"/>
      <c r="D173" s="517">
        <v>2020</v>
      </c>
      <c r="E173" s="520">
        <f>F173+G173+J173+K173</f>
        <v>47.04</v>
      </c>
      <c r="F173" s="121"/>
      <c r="G173" s="69">
        <f t="shared" si="31"/>
        <v>0</v>
      </c>
      <c r="H173" s="69">
        <f>H174+H175+H176+H177+H179+H180</f>
        <v>0</v>
      </c>
      <c r="I173" s="69">
        <f>I174+I175+I176+I177+I179+I180</f>
        <v>0</v>
      </c>
      <c r="J173" s="69">
        <f>SUM(J174:J180)</f>
        <v>47.04</v>
      </c>
      <c r="K173" s="122">
        <f>K174+K175+K176+K177+K179+K180</f>
        <v>0</v>
      </c>
      <c r="L173" s="399"/>
      <c r="M173" s="516"/>
    </row>
    <row r="174" spans="1:13" s="70" customFormat="1" ht="25.5" customHeight="1">
      <c r="A174" s="540"/>
      <c r="B174" s="537"/>
      <c r="C174" s="538"/>
      <c r="D174" s="518"/>
      <c r="E174" s="521"/>
      <c r="F174" s="120"/>
      <c r="G174" s="120">
        <f t="shared" si="31"/>
        <v>0</v>
      </c>
      <c r="H174" s="120"/>
      <c r="I174" s="108"/>
      <c r="J174" s="108">
        <v>12</v>
      </c>
      <c r="K174" s="107"/>
      <c r="L174" s="398" t="s">
        <v>168</v>
      </c>
      <c r="M174" s="516"/>
    </row>
    <row r="175" spans="1:13" s="70" customFormat="1" ht="24.75" customHeight="1">
      <c r="A175" s="540"/>
      <c r="B175" s="537"/>
      <c r="C175" s="538"/>
      <c r="D175" s="518"/>
      <c r="E175" s="521"/>
      <c r="F175" s="24"/>
      <c r="G175" s="24">
        <f t="shared" si="31"/>
        <v>0</v>
      </c>
      <c r="H175" s="24"/>
      <c r="I175" s="26"/>
      <c r="J175" s="26">
        <v>4.5</v>
      </c>
      <c r="K175" s="35"/>
      <c r="L175" s="395" t="s">
        <v>15</v>
      </c>
      <c r="M175" s="516"/>
    </row>
    <row r="176" spans="1:13" s="70" customFormat="1" ht="24.75" customHeight="1">
      <c r="A176" s="540"/>
      <c r="B176" s="537"/>
      <c r="C176" s="538"/>
      <c r="D176" s="518"/>
      <c r="E176" s="521"/>
      <c r="F176" s="24"/>
      <c r="G176" s="24">
        <f t="shared" si="31"/>
        <v>0</v>
      </c>
      <c r="H176" s="24"/>
      <c r="I176" s="26"/>
      <c r="J176" s="26">
        <v>6</v>
      </c>
      <c r="K176" s="35"/>
      <c r="L176" s="395" t="s">
        <v>19</v>
      </c>
      <c r="M176" s="516"/>
    </row>
    <row r="177" spans="1:13" s="70" customFormat="1" ht="24.75" customHeight="1">
      <c r="A177" s="540"/>
      <c r="B177" s="537"/>
      <c r="C177" s="538"/>
      <c r="D177" s="518"/>
      <c r="E177" s="521"/>
      <c r="F177" s="24"/>
      <c r="G177" s="24">
        <f t="shared" si="31"/>
        <v>0</v>
      </c>
      <c r="H177" s="24"/>
      <c r="I177" s="26"/>
      <c r="J177" s="26">
        <v>4.5</v>
      </c>
      <c r="K177" s="35"/>
      <c r="L177" s="395" t="s">
        <v>12</v>
      </c>
      <c r="M177" s="516"/>
    </row>
    <row r="178" spans="1:13" s="70" customFormat="1" ht="24.75" customHeight="1">
      <c r="A178" s="540"/>
      <c r="B178" s="537"/>
      <c r="C178" s="538"/>
      <c r="D178" s="518"/>
      <c r="E178" s="521"/>
      <c r="F178" s="24"/>
      <c r="G178" s="24">
        <f t="shared" si="31"/>
        <v>0</v>
      </c>
      <c r="H178" s="24"/>
      <c r="I178" s="26"/>
      <c r="J178" s="2">
        <v>20.04</v>
      </c>
      <c r="K178" s="11"/>
      <c r="L178" s="395" t="s">
        <v>44</v>
      </c>
      <c r="M178" s="516"/>
    </row>
    <row r="179" spans="1:13" s="70" customFormat="1" ht="24.75" customHeight="1">
      <c r="A179" s="540"/>
      <c r="B179" s="537"/>
      <c r="C179" s="538"/>
      <c r="D179" s="518"/>
      <c r="E179" s="521"/>
      <c r="F179" s="24"/>
      <c r="G179" s="24">
        <f t="shared" si="31"/>
        <v>0</v>
      </c>
      <c r="H179" s="24"/>
      <c r="I179" s="26"/>
      <c r="J179" s="26">
        <v>0</v>
      </c>
      <c r="K179" s="35"/>
      <c r="L179" s="395" t="s">
        <v>20</v>
      </c>
      <c r="M179" s="516"/>
    </row>
    <row r="180" spans="1:13" s="70" customFormat="1" ht="24.75" customHeight="1" thickBot="1">
      <c r="A180" s="540"/>
      <c r="B180" s="537"/>
      <c r="C180" s="538"/>
      <c r="D180" s="519"/>
      <c r="E180" s="522"/>
      <c r="F180" s="166"/>
      <c r="G180" s="166">
        <f t="shared" si="31"/>
        <v>0</v>
      </c>
      <c r="H180" s="166"/>
      <c r="I180" s="173"/>
      <c r="J180" s="173">
        <v>0</v>
      </c>
      <c r="K180" s="167"/>
      <c r="L180" s="396" t="s">
        <v>21</v>
      </c>
      <c r="M180" s="516"/>
    </row>
    <row r="181" spans="1:13" s="70" customFormat="1" ht="24.75" customHeight="1" thickBot="1">
      <c r="A181" s="540"/>
      <c r="B181" s="537"/>
      <c r="C181" s="538"/>
      <c r="D181" s="517">
        <v>2021</v>
      </c>
      <c r="E181" s="520">
        <f>F181+G181+J181+K181</f>
        <v>47.04</v>
      </c>
      <c r="F181" s="121"/>
      <c r="G181" s="69">
        <f t="shared" si="31"/>
        <v>0</v>
      </c>
      <c r="H181" s="69">
        <f>H182+H183+H184+H185+H187+H188</f>
        <v>0</v>
      </c>
      <c r="I181" s="69">
        <f>I182+I183+I184+I185+I187+I188</f>
        <v>0</v>
      </c>
      <c r="J181" s="69">
        <f>SUM(J182:J188)</f>
        <v>47.04</v>
      </c>
      <c r="K181" s="69">
        <f>K182+K183+K184+K185+K187+K188</f>
        <v>0</v>
      </c>
      <c r="L181" s="403"/>
      <c r="M181" s="516"/>
    </row>
    <row r="182" spans="1:13" s="70" customFormat="1" ht="24.75" customHeight="1">
      <c r="A182" s="540"/>
      <c r="B182" s="537"/>
      <c r="C182" s="538"/>
      <c r="D182" s="518"/>
      <c r="E182" s="521"/>
      <c r="F182" s="120"/>
      <c r="G182" s="120">
        <f t="shared" si="31"/>
        <v>0</v>
      </c>
      <c r="H182" s="120"/>
      <c r="I182" s="108"/>
      <c r="J182" s="108">
        <v>12</v>
      </c>
      <c r="K182" s="107"/>
      <c r="L182" s="398" t="s">
        <v>168</v>
      </c>
      <c r="M182" s="516"/>
    </row>
    <row r="183" spans="1:13" s="70" customFormat="1" ht="24.75" customHeight="1">
      <c r="A183" s="540"/>
      <c r="B183" s="537"/>
      <c r="C183" s="538"/>
      <c r="D183" s="518"/>
      <c r="E183" s="521"/>
      <c r="F183" s="24"/>
      <c r="G183" s="24">
        <f t="shared" si="31"/>
        <v>0</v>
      </c>
      <c r="H183" s="24"/>
      <c r="I183" s="26"/>
      <c r="J183" s="26">
        <v>4.5</v>
      </c>
      <c r="K183" s="35"/>
      <c r="L183" s="395" t="s">
        <v>15</v>
      </c>
      <c r="M183" s="516"/>
    </row>
    <row r="184" spans="1:13" s="70" customFormat="1" ht="24.75" customHeight="1">
      <c r="A184" s="540"/>
      <c r="B184" s="537"/>
      <c r="C184" s="538"/>
      <c r="D184" s="518"/>
      <c r="E184" s="521"/>
      <c r="F184" s="24"/>
      <c r="G184" s="24">
        <f t="shared" si="31"/>
        <v>0</v>
      </c>
      <c r="H184" s="24"/>
      <c r="I184" s="26"/>
      <c r="J184" s="26">
        <v>6</v>
      </c>
      <c r="K184" s="35"/>
      <c r="L184" s="395" t="s">
        <v>19</v>
      </c>
      <c r="M184" s="516"/>
    </row>
    <row r="185" spans="1:13" s="70" customFormat="1" ht="24.75" customHeight="1">
      <c r="A185" s="540"/>
      <c r="B185" s="537"/>
      <c r="C185" s="538"/>
      <c r="D185" s="518"/>
      <c r="E185" s="521"/>
      <c r="F185" s="24"/>
      <c r="G185" s="24">
        <f t="shared" si="31"/>
        <v>0</v>
      </c>
      <c r="H185" s="24"/>
      <c r="I185" s="26"/>
      <c r="J185" s="26">
        <v>4.5</v>
      </c>
      <c r="K185" s="35"/>
      <c r="L185" s="395" t="s">
        <v>12</v>
      </c>
      <c r="M185" s="516"/>
    </row>
    <row r="186" spans="1:13" s="70" customFormat="1" ht="24.75" customHeight="1">
      <c r="A186" s="540"/>
      <c r="B186" s="537"/>
      <c r="C186" s="538"/>
      <c r="D186" s="518"/>
      <c r="E186" s="521"/>
      <c r="F186" s="24"/>
      <c r="G186" s="24">
        <f t="shared" si="31"/>
        <v>0</v>
      </c>
      <c r="H186" s="24"/>
      <c r="I186" s="26"/>
      <c r="J186" s="26">
        <v>20.04</v>
      </c>
      <c r="K186" s="35"/>
      <c r="L186" s="395" t="s">
        <v>44</v>
      </c>
      <c r="M186" s="516"/>
    </row>
    <row r="187" spans="1:13" s="70" customFormat="1" ht="24.75" customHeight="1">
      <c r="A187" s="540"/>
      <c r="B187" s="537"/>
      <c r="C187" s="538"/>
      <c r="D187" s="518"/>
      <c r="E187" s="521"/>
      <c r="F187" s="24"/>
      <c r="G187" s="24">
        <f t="shared" si="31"/>
        <v>0</v>
      </c>
      <c r="H187" s="24"/>
      <c r="I187" s="26"/>
      <c r="J187" s="26">
        <v>0</v>
      </c>
      <c r="K187" s="35"/>
      <c r="L187" s="395" t="s">
        <v>20</v>
      </c>
      <c r="M187" s="516"/>
    </row>
    <row r="188" spans="1:13" s="70" customFormat="1" ht="24.75" customHeight="1" thickBot="1">
      <c r="A188" s="540"/>
      <c r="B188" s="537"/>
      <c r="C188" s="538"/>
      <c r="D188" s="519"/>
      <c r="E188" s="522"/>
      <c r="F188" s="166"/>
      <c r="G188" s="166">
        <f t="shared" si="31"/>
        <v>0</v>
      </c>
      <c r="H188" s="166"/>
      <c r="I188" s="173"/>
      <c r="J188" s="173">
        <v>0</v>
      </c>
      <c r="K188" s="167"/>
      <c r="L188" s="396" t="s">
        <v>21</v>
      </c>
      <c r="M188" s="516"/>
    </row>
    <row r="189" spans="1:13" s="70" customFormat="1" ht="24" customHeight="1" thickBot="1">
      <c r="A189" s="540"/>
      <c r="B189" s="537"/>
      <c r="C189" s="538"/>
      <c r="D189" s="528">
        <v>2022</v>
      </c>
      <c r="E189" s="520">
        <f>F189+G189+J189+K189</f>
        <v>47.04</v>
      </c>
      <c r="F189" s="121"/>
      <c r="G189" s="69">
        <f>SUM(G190:G196)</f>
        <v>0</v>
      </c>
      <c r="H189" s="69">
        <f>SUM(H190:H196)</f>
        <v>0</v>
      </c>
      <c r="I189" s="69">
        <f>SUM(I190:I196)</f>
        <v>0</v>
      </c>
      <c r="J189" s="69">
        <f>SUM(J190:J196)</f>
        <v>47.04</v>
      </c>
      <c r="K189" s="69">
        <f>SUM(K190:K196)</f>
        <v>0</v>
      </c>
      <c r="L189" s="397"/>
      <c r="M189" s="250"/>
    </row>
    <row r="190" spans="1:13" s="70" customFormat="1" ht="23.25" customHeight="1">
      <c r="A190" s="540"/>
      <c r="B190" s="537"/>
      <c r="C190" s="538"/>
      <c r="D190" s="529"/>
      <c r="E190" s="521"/>
      <c r="F190" s="120"/>
      <c r="G190" s="120"/>
      <c r="H190" s="120"/>
      <c r="I190" s="108"/>
      <c r="J190" s="108">
        <v>12</v>
      </c>
      <c r="K190" s="107"/>
      <c r="L190" s="395" t="s">
        <v>168</v>
      </c>
      <c r="M190" s="250"/>
    </row>
    <row r="191" spans="1:13" s="70" customFormat="1" ht="24.75" customHeight="1">
      <c r="A191" s="540"/>
      <c r="B191" s="537"/>
      <c r="C191" s="538"/>
      <c r="D191" s="529"/>
      <c r="E191" s="521"/>
      <c r="F191" s="24"/>
      <c r="G191" s="24"/>
      <c r="H191" s="24"/>
      <c r="I191" s="26"/>
      <c r="J191" s="26">
        <v>4.5</v>
      </c>
      <c r="K191" s="35"/>
      <c r="L191" s="395" t="s">
        <v>15</v>
      </c>
      <c r="M191" s="250"/>
    </row>
    <row r="192" spans="1:13" s="70" customFormat="1" ht="24.75" customHeight="1">
      <c r="A192" s="540"/>
      <c r="B192" s="537"/>
      <c r="C192" s="538"/>
      <c r="D192" s="529"/>
      <c r="E192" s="521"/>
      <c r="F192" s="24"/>
      <c r="G192" s="24"/>
      <c r="H192" s="24"/>
      <c r="I192" s="26"/>
      <c r="J192" s="26">
        <v>6</v>
      </c>
      <c r="K192" s="35"/>
      <c r="L192" s="395" t="s">
        <v>19</v>
      </c>
      <c r="M192" s="250"/>
    </row>
    <row r="193" spans="1:13" s="70" customFormat="1" ht="24.75" customHeight="1">
      <c r="A193" s="540"/>
      <c r="B193" s="537"/>
      <c r="C193" s="538"/>
      <c r="D193" s="529"/>
      <c r="E193" s="521"/>
      <c r="F193" s="24"/>
      <c r="G193" s="24"/>
      <c r="H193" s="24"/>
      <c r="I193" s="26"/>
      <c r="J193" s="26">
        <v>4.5</v>
      </c>
      <c r="K193" s="35"/>
      <c r="L193" s="395" t="s">
        <v>12</v>
      </c>
      <c r="M193" s="250"/>
    </row>
    <row r="194" spans="1:13" s="70" customFormat="1" ht="24.75" customHeight="1">
      <c r="A194" s="540"/>
      <c r="B194" s="537"/>
      <c r="C194" s="538"/>
      <c r="D194" s="529"/>
      <c r="E194" s="521"/>
      <c r="F194" s="24"/>
      <c r="G194" s="24"/>
      <c r="H194" s="24"/>
      <c r="I194" s="26"/>
      <c r="J194" s="26">
        <v>20.04</v>
      </c>
      <c r="K194" s="35"/>
      <c r="L194" s="395" t="s">
        <v>44</v>
      </c>
      <c r="M194" s="250"/>
    </row>
    <row r="195" spans="1:13" s="70" customFormat="1" ht="24.75" customHeight="1">
      <c r="A195" s="540"/>
      <c r="B195" s="537"/>
      <c r="C195" s="538"/>
      <c r="D195" s="529"/>
      <c r="E195" s="521"/>
      <c r="F195" s="24"/>
      <c r="G195" s="24"/>
      <c r="H195" s="24"/>
      <c r="I195" s="26"/>
      <c r="J195" s="26">
        <v>0</v>
      </c>
      <c r="K195" s="35"/>
      <c r="L195" s="395" t="s">
        <v>20</v>
      </c>
      <c r="M195" s="250"/>
    </row>
    <row r="196" spans="1:13" s="70" customFormat="1" ht="24.75" customHeight="1" thickBot="1">
      <c r="A196" s="540"/>
      <c r="B196" s="537"/>
      <c r="C196" s="538"/>
      <c r="D196" s="529"/>
      <c r="E196" s="530"/>
      <c r="F196" s="97"/>
      <c r="G196" s="97"/>
      <c r="H196" s="97"/>
      <c r="I196" s="68"/>
      <c r="J196" s="68">
        <v>0</v>
      </c>
      <c r="K196" s="106"/>
      <c r="L196" s="405" t="s">
        <v>21</v>
      </c>
      <c r="M196" s="250"/>
    </row>
    <row r="197" spans="1:13" s="70" customFormat="1" ht="24.75" customHeight="1" thickBot="1">
      <c r="A197" s="540"/>
      <c r="B197" s="537"/>
      <c r="C197" s="538"/>
      <c r="D197" s="154">
        <v>2023</v>
      </c>
      <c r="E197" s="123">
        <f>F197+G197+J197+K197</f>
        <v>47.04</v>
      </c>
      <c r="F197" s="69">
        <f>SUM(F198:F204)</f>
        <v>0</v>
      </c>
      <c r="G197" s="69">
        <f>H197+I197</f>
        <v>0</v>
      </c>
      <c r="H197" s="69">
        <f>SUM(H198:H204)</f>
        <v>0</v>
      </c>
      <c r="I197" s="69">
        <f>SUM(I198:I204)</f>
        <v>0</v>
      </c>
      <c r="J197" s="69">
        <f>SUM(J198:J204)</f>
        <v>47.04</v>
      </c>
      <c r="K197" s="69">
        <f>SUM(K198:K204)</f>
        <v>0</v>
      </c>
      <c r="L197" s="403"/>
      <c r="M197" s="250"/>
    </row>
    <row r="198" spans="1:13" s="70" customFormat="1" ht="24.75" customHeight="1">
      <c r="A198" s="540"/>
      <c r="B198" s="537"/>
      <c r="C198" s="538"/>
      <c r="D198" s="699"/>
      <c r="E198" s="654"/>
      <c r="F198" s="120"/>
      <c r="G198" s="120"/>
      <c r="H198" s="120"/>
      <c r="I198" s="108"/>
      <c r="J198" s="108">
        <v>12</v>
      </c>
      <c r="K198" s="107"/>
      <c r="L198" s="395" t="s">
        <v>168</v>
      </c>
      <c r="M198" s="250"/>
    </row>
    <row r="199" spans="1:13" s="70" customFormat="1" ht="24.75" customHeight="1">
      <c r="A199" s="540"/>
      <c r="B199" s="537"/>
      <c r="C199" s="538"/>
      <c r="D199" s="430"/>
      <c r="E199" s="653"/>
      <c r="F199" s="24"/>
      <c r="G199" s="24"/>
      <c r="H199" s="24"/>
      <c r="I199" s="26"/>
      <c r="J199" s="26">
        <v>4.5</v>
      </c>
      <c r="K199" s="35"/>
      <c r="L199" s="395" t="s">
        <v>15</v>
      </c>
      <c r="M199" s="250"/>
    </row>
    <row r="200" spans="1:13" s="70" customFormat="1" ht="24.75" customHeight="1">
      <c r="A200" s="540"/>
      <c r="B200" s="537"/>
      <c r="C200" s="538"/>
      <c r="D200" s="430"/>
      <c r="E200" s="653"/>
      <c r="F200" s="24"/>
      <c r="G200" s="24"/>
      <c r="H200" s="24"/>
      <c r="I200" s="26"/>
      <c r="J200" s="26">
        <v>6</v>
      </c>
      <c r="K200" s="35"/>
      <c r="L200" s="395" t="s">
        <v>19</v>
      </c>
      <c r="M200" s="250"/>
    </row>
    <row r="201" spans="1:13" s="70" customFormat="1" ht="24" customHeight="1">
      <c r="A201" s="540"/>
      <c r="B201" s="537"/>
      <c r="C201" s="538"/>
      <c r="D201" s="430"/>
      <c r="E201" s="653"/>
      <c r="F201" s="24"/>
      <c r="G201" s="24"/>
      <c r="H201" s="24"/>
      <c r="I201" s="26"/>
      <c r="J201" s="26">
        <v>4.5</v>
      </c>
      <c r="K201" s="35"/>
      <c r="L201" s="395" t="s">
        <v>12</v>
      </c>
      <c r="M201" s="250"/>
    </row>
    <row r="202" spans="1:13" s="70" customFormat="1" ht="24" customHeight="1">
      <c r="A202" s="540"/>
      <c r="B202" s="537"/>
      <c r="C202" s="538"/>
      <c r="D202" s="430"/>
      <c r="E202" s="653"/>
      <c r="F202" s="24"/>
      <c r="G202" s="24"/>
      <c r="H202" s="24"/>
      <c r="I202" s="26"/>
      <c r="J202" s="26">
        <v>20.04</v>
      </c>
      <c r="K202" s="35"/>
      <c r="L202" s="395" t="s">
        <v>44</v>
      </c>
      <c r="M202" s="250"/>
    </row>
    <row r="203" spans="1:13" s="70" customFormat="1" ht="24" customHeight="1">
      <c r="A203" s="540"/>
      <c r="B203" s="537"/>
      <c r="C203" s="538"/>
      <c r="D203" s="430"/>
      <c r="E203" s="653"/>
      <c r="F203" s="24"/>
      <c r="G203" s="24"/>
      <c r="H203" s="24"/>
      <c r="I203" s="26"/>
      <c r="J203" s="26">
        <v>0</v>
      </c>
      <c r="K203" s="35"/>
      <c r="L203" s="395" t="s">
        <v>20</v>
      </c>
      <c r="M203" s="250"/>
    </row>
    <row r="204" spans="1:13" s="70" customFormat="1" ht="24.75" customHeight="1" thickBot="1">
      <c r="A204" s="540"/>
      <c r="B204" s="537"/>
      <c r="C204" s="538"/>
      <c r="D204" s="430"/>
      <c r="E204" s="653"/>
      <c r="F204" s="97"/>
      <c r="G204" s="97"/>
      <c r="H204" s="97"/>
      <c r="I204" s="68"/>
      <c r="J204" s="68">
        <v>0</v>
      </c>
      <c r="K204" s="106"/>
      <c r="L204" s="405" t="s">
        <v>21</v>
      </c>
      <c r="M204" s="250"/>
    </row>
    <row r="205" spans="1:13" s="70" customFormat="1" ht="24.75" customHeight="1">
      <c r="A205" s="531" t="s">
        <v>220</v>
      </c>
      <c r="B205" s="541" t="s">
        <v>203</v>
      </c>
      <c r="C205" s="542"/>
      <c r="D205" s="314">
        <v>2017</v>
      </c>
      <c r="E205" s="164">
        <f aca="true" t="shared" si="32" ref="E205:E213">F205+G205+J205+K205</f>
        <v>169.78</v>
      </c>
      <c r="F205" s="164"/>
      <c r="G205" s="164">
        <f aca="true" t="shared" si="33" ref="G205:G213">H205+I205</f>
        <v>155.2</v>
      </c>
      <c r="H205" s="164"/>
      <c r="I205" s="164">
        <v>155.2</v>
      </c>
      <c r="J205" s="164">
        <f>15-0.42</f>
        <v>14.58</v>
      </c>
      <c r="K205" s="315"/>
      <c r="L205" s="406" t="s">
        <v>46</v>
      </c>
      <c r="M205" s="516" t="s">
        <v>55</v>
      </c>
    </row>
    <row r="206" spans="1:13" s="70" customFormat="1" ht="24.75" customHeight="1">
      <c r="A206" s="532"/>
      <c r="B206" s="488"/>
      <c r="C206" s="489"/>
      <c r="D206" s="42">
        <v>2018</v>
      </c>
      <c r="E206" s="24">
        <f t="shared" si="32"/>
        <v>162.2</v>
      </c>
      <c r="F206" s="24"/>
      <c r="G206" s="24">
        <f t="shared" si="33"/>
        <v>162.2</v>
      </c>
      <c r="H206" s="24"/>
      <c r="I206" s="24">
        <v>162.2</v>
      </c>
      <c r="J206" s="26"/>
      <c r="K206" s="35"/>
      <c r="L206" s="395" t="s">
        <v>46</v>
      </c>
      <c r="M206" s="516"/>
    </row>
    <row r="207" spans="1:13" s="70" customFormat="1" ht="24.75" customHeight="1">
      <c r="A207" s="532"/>
      <c r="B207" s="488"/>
      <c r="C207" s="489"/>
      <c r="D207" s="42">
        <v>2019</v>
      </c>
      <c r="E207" s="24">
        <f t="shared" si="32"/>
        <v>481.1</v>
      </c>
      <c r="F207" s="24"/>
      <c r="G207" s="24">
        <f t="shared" si="33"/>
        <v>481.1</v>
      </c>
      <c r="H207" s="24"/>
      <c r="I207" s="24">
        <v>481.1</v>
      </c>
      <c r="J207" s="26"/>
      <c r="K207" s="35"/>
      <c r="L207" s="395" t="s">
        <v>46</v>
      </c>
      <c r="M207" s="516"/>
    </row>
    <row r="208" spans="1:13" s="70" customFormat="1" ht="24.75" customHeight="1">
      <c r="A208" s="532"/>
      <c r="B208" s="488"/>
      <c r="C208" s="489"/>
      <c r="D208" s="42">
        <v>2020</v>
      </c>
      <c r="E208" s="24">
        <f>F208+G208+J208+K208</f>
        <v>163.2</v>
      </c>
      <c r="F208" s="24"/>
      <c r="G208" s="24">
        <f t="shared" si="33"/>
        <v>163.2</v>
      </c>
      <c r="H208" s="24"/>
      <c r="I208" s="24">
        <v>163.2</v>
      </c>
      <c r="J208" s="26"/>
      <c r="K208" s="35"/>
      <c r="L208" s="395" t="s">
        <v>46</v>
      </c>
      <c r="M208" s="516"/>
    </row>
    <row r="209" spans="1:13" s="70" customFormat="1" ht="24.75" customHeight="1">
      <c r="A209" s="532"/>
      <c r="B209" s="488"/>
      <c r="C209" s="489"/>
      <c r="D209" s="42">
        <v>2021</v>
      </c>
      <c r="E209" s="24">
        <f>F209+G209+J209+K209</f>
        <v>163.2</v>
      </c>
      <c r="F209" s="24"/>
      <c r="G209" s="24">
        <f>H209+I209</f>
        <v>163.2</v>
      </c>
      <c r="H209" s="24"/>
      <c r="I209" s="24">
        <v>163.2</v>
      </c>
      <c r="J209" s="26"/>
      <c r="K209" s="35"/>
      <c r="L209" s="395" t="s">
        <v>46</v>
      </c>
      <c r="M209" s="516"/>
    </row>
    <row r="210" spans="1:13" s="70" customFormat="1" ht="24.75" customHeight="1">
      <c r="A210" s="533"/>
      <c r="B210" s="488"/>
      <c r="C210" s="489"/>
      <c r="D210" s="7">
        <v>2022</v>
      </c>
      <c r="E210" s="24">
        <f t="shared" si="32"/>
        <v>163.2</v>
      </c>
      <c r="F210" s="24"/>
      <c r="G210" s="24">
        <f t="shared" si="33"/>
        <v>163.2</v>
      </c>
      <c r="H210" s="24"/>
      <c r="I210" s="24">
        <v>163.2</v>
      </c>
      <c r="J210" s="26"/>
      <c r="K210" s="35"/>
      <c r="L210" s="395" t="s">
        <v>46</v>
      </c>
      <c r="M210" s="516"/>
    </row>
    <row r="211" spans="1:13" s="70" customFormat="1" ht="24.75" customHeight="1" thickBot="1">
      <c r="A211" s="278"/>
      <c r="B211" s="543"/>
      <c r="C211" s="544"/>
      <c r="D211" s="316">
        <v>2023</v>
      </c>
      <c r="E211" s="293">
        <f t="shared" si="32"/>
        <v>163.2</v>
      </c>
      <c r="F211" s="293"/>
      <c r="G211" s="293">
        <f t="shared" si="33"/>
        <v>163.2</v>
      </c>
      <c r="H211" s="293"/>
      <c r="I211" s="293">
        <v>163.2</v>
      </c>
      <c r="J211" s="291"/>
      <c r="K211" s="317"/>
      <c r="L211" s="407"/>
      <c r="M211" s="250"/>
    </row>
    <row r="212" spans="1:13" s="70" customFormat="1" ht="54" customHeight="1" thickBot="1">
      <c r="A212" s="265" t="s">
        <v>113</v>
      </c>
      <c r="B212" s="534" t="s">
        <v>202</v>
      </c>
      <c r="C212" s="534"/>
      <c r="D212" s="266">
        <v>2019</v>
      </c>
      <c r="E212" s="69">
        <f>F212+G212+J212+K212</f>
        <v>96.58</v>
      </c>
      <c r="F212" s="69"/>
      <c r="G212" s="69">
        <f>H212+I212</f>
        <v>0</v>
      </c>
      <c r="H212" s="69"/>
      <c r="I212" s="69"/>
      <c r="J212" s="69">
        <v>96.58</v>
      </c>
      <c r="K212" s="267"/>
      <c r="L212" s="189" t="s">
        <v>178</v>
      </c>
      <c r="M212" s="250"/>
    </row>
    <row r="213" spans="1:13" s="70" customFormat="1" ht="71.25" customHeight="1" thickBot="1">
      <c r="A213" s="249" t="s">
        <v>166</v>
      </c>
      <c r="B213" s="546" t="s">
        <v>81</v>
      </c>
      <c r="C213" s="546"/>
      <c r="D213" s="263">
        <v>2017</v>
      </c>
      <c r="E213" s="170">
        <f t="shared" si="32"/>
        <v>2375.768</v>
      </c>
      <c r="F213" s="120"/>
      <c r="G213" s="120">
        <f t="shared" si="33"/>
        <v>0</v>
      </c>
      <c r="H213" s="264"/>
      <c r="I213" s="264"/>
      <c r="J213" s="120">
        <v>2375.768</v>
      </c>
      <c r="K213" s="107"/>
      <c r="L213" s="394" t="s">
        <v>37</v>
      </c>
      <c r="M213" s="23" t="s">
        <v>61</v>
      </c>
    </row>
    <row r="214" spans="1:13" s="81" customFormat="1" ht="46.5" customHeight="1" thickBot="1">
      <c r="A214" s="209" t="s">
        <v>251</v>
      </c>
      <c r="B214" s="547" t="s">
        <v>155</v>
      </c>
      <c r="C214" s="547"/>
      <c r="D214" s="241">
        <v>2019</v>
      </c>
      <c r="E214" s="242">
        <f>F214+G214+J214+K214</f>
        <v>330</v>
      </c>
      <c r="F214" s="243"/>
      <c r="G214" s="164">
        <f>H214+I214</f>
        <v>0</v>
      </c>
      <c r="H214" s="164">
        <v>0</v>
      </c>
      <c r="I214" s="164">
        <v>0</v>
      </c>
      <c r="J214" s="164">
        <f>330.278-0.278</f>
        <v>330</v>
      </c>
      <c r="K214" s="244"/>
      <c r="L214" s="245" t="s">
        <v>160</v>
      </c>
      <c r="M214" s="246"/>
    </row>
    <row r="215" spans="1:13" s="99" customFormat="1" ht="38.25" customHeight="1" hidden="1" thickBot="1">
      <c r="A215" s="268" t="s">
        <v>166</v>
      </c>
      <c r="B215" s="548"/>
      <c r="C215" s="549"/>
      <c r="D215" s="114"/>
      <c r="E215" s="102"/>
      <c r="F215" s="170"/>
      <c r="G215" s="102"/>
      <c r="H215" s="102"/>
      <c r="I215" s="102"/>
      <c r="J215" s="102"/>
      <c r="K215" s="269"/>
      <c r="L215" s="224"/>
      <c r="M215" s="190"/>
    </row>
    <row r="216" spans="1:13" s="99" customFormat="1" ht="91.5" customHeight="1" thickBot="1">
      <c r="A216" s="209" t="s">
        <v>265</v>
      </c>
      <c r="B216" s="550" t="s">
        <v>171</v>
      </c>
      <c r="C216" s="550"/>
      <c r="D216" s="270">
        <v>2019</v>
      </c>
      <c r="E216" s="271">
        <f>F216+G216+J216+K216</f>
        <v>80.293</v>
      </c>
      <c r="F216" s="69"/>
      <c r="G216" s="272">
        <f>H216+I216</f>
        <v>0</v>
      </c>
      <c r="H216" s="272">
        <v>0</v>
      </c>
      <c r="I216" s="272">
        <v>0</v>
      </c>
      <c r="J216" s="272">
        <f>19+61.293</f>
        <v>80.293</v>
      </c>
      <c r="K216" s="267">
        <v>0</v>
      </c>
      <c r="L216" s="189" t="s">
        <v>3</v>
      </c>
      <c r="M216" s="103" t="s">
        <v>170</v>
      </c>
    </row>
    <row r="217" spans="1:13" s="99" customFormat="1" ht="255" customHeight="1" thickBot="1">
      <c r="A217" s="80" t="s">
        <v>266</v>
      </c>
      <c r="B217" s="551" t="s">
        <v>211</v>
      </c>
      <c r="C217" s="551"/>
      <c r="D217" s="273">
        <v>2019</v>
      </c>
      <c r="E217" s="272">
        <f>F217+G217+J217+K217</f>
        <v>0</v>
      </c>
      <c r="F217" s="69"/>
      <c r="G217" s="272">
        <f>H217+I217</f>
        <v>0</v>
      </c>
      <c r="H217" s="272">
        <v>0</v>
      </c>
      <c r="I217" s="272">
        <v>0</v>
      </c>
      <c r="J217" s="272">
        <v>0</v>
      </c>
      <c r="K217" s="267">
        <v>0</v>
      </c>
      <c r="L217" s="274" t="s">
        <v>167</v>
      </c>
      <c r="M217" s="275" t="s">
        <v>212</v>
      </c>
    </row>
    <row r="218" spans="1:13" s="99" customFormat="1" ht="31.5" customHeight="1" thickBot="1">
      <c r="A218" s="432" t="s">
        <v>267</v>
      </c>
      <c r="B218" s="559" t="s">
        <v>268</v>
      </c>
      <c r="C218" s="560"/>
      <c r="D218" s="140">
        <v>2020</v>
      </c>
      <c r="E218" s="69">
        <f>SUM(E219:E226)</f>
        <v>2891.4799999999996</v>
      </c>
      <c r="F218" s="69">
        <f>SUM(F219:F226)</f>
        <v>0</v>
      </c>
      <c r="G218" s="69">
        <f>H218+I218</f>
        <v>956</v>
      </c>
      <c r="H218" s="69">
        <f>SUM(H219:H226)</f>
        <v>0</v>
      </c>
      <c r="I218" s="69">
        <f>SUM(I219:I226)</f>
        <v>956</v>
      </c>
      <c r="J218" s="69">
        <f>SUM(J219:J226)</f>
        <v>1935.48</v>
      </c>
      <c r="K218" s="69">
        <f>SUM(K219:K226)</f>
        <v>0</v>
      </c>
      <c r="L218" s="274"/>
      <c r="M218" s="275"/>
    </row>
    <row r="219" spans="1:13" s="99" customFormat="1" ht="31.5" customHeight="1">
      <c r="A219" s="433"/>
      <c r="B219" s="561"/>
      <c r="C219" s="562"/>
      <c r="D219" s="185" t="s">
        <v>151</v>
      </c>
      <c r="E219" s="68">
        <f>F219+G219+J219+K219</f>
        <v>686.374</v>
      </c>
      <c r="F219" s="170"/>
      <c r="G219" s="108">
        <f aca="true" t="shared" si="34" ref="G219:G226">H219+I219</f>
        <v>0</v>
      </c>
      <c r="H219" s="102"/>
      <c r="I219" s="102">
        <v>0</v>
      </c>
      <c r="J219" s="102">
        <f>773.274-86.9</f>
        <v>686.374</v>
      </c>
      <c r="K219" s="269"/>
      <c r="L219" s="224" t="s">
        <v>277</v>
      </c>
      <c r="M219" s="566" t="s">
        <v>273</v>
      </c>
    </row>
    <row r="220" spans="1:13" s="99" customFormat="1" ht="31.5" customHeight="1">
      <c r="A220" s="433"/>
      <c r="B220" s="561"/>
      <c r="C220" s="562"/>
      <c r="D220" s="1" t="s">
        <v>151</v>
      </c>
      <c r="E220" s="68">
        <f aca="true" t="shared" si="35" ref="E220:E226">F220+G220+J220+K220</f>
        <v>668.4</v>
      </c>
      <c r="F220" s="24"/>
      <c r="G220" s="26">
        <f t="shared" si="34"/>
        <v>581.5</v>
      </c>
      <c r="H220" s="26"/>
      <c r="I220" s="26">
        <v>581.5</v>
      </c>
      <c r="J220" s="26">
        <v>86.9</v>
      </c>
      <c r="K220" s="35"/>
      <c r="L220" s="6" t="s">
        <v>278</v>
      </c>
      <c r="M220" s="440"/>
    </row>
    <row r="221" spans="1:13" s="99" customFormat="1" ht="31.5" customHeight="1">
      <c r="A221" s="433"/>
      <c r="B221" s="561"/>
      <c r="C221" s="562"/>
      <c r="D221" s="1" t="s">
        <v>150</v>
      </c>
      <c r="E221" s="68">
        <f t="shared" si="35"/>
        <v>958.006</v>
      </c>
      <c r="F221" s="24"/>
      <c r="G221" s="26">
        <f t="shared" si="34"/>
        <v>0</v>
      </c>
      <c r="H221" s="26"/>
      <c r="I221" s="26">
        <v>0</v>
      </c>
      <c r="J221" s="26">
        <f>1014.006-56</f>
        <v>958.006</v>
      </c>
      <c r="K221" s="35"/>
      <c r="L221" s="224" t="s">
        <v>279</v>
      </c>
      <c r="M221" s="440"/>
    </row>
    <row r="222" spans="1:13" s="99" customFormat="1" ht="31.5" customHeight="1">
      <c r="A222" s="433"/>
      <c r="B222" s="561"/>
      <c r="C222" s="562"/>
      <c r="D222" s="185" t="s">
        <v>150</v>
      </c>
      <c r="E222" s="68">
        <f t="shared" si="35"/>
        <v>430.5</v>
      </c>
      <c r="F222" s="120"/>
      <c r="G222" s="26">
        <f t="shared" si="34"/>
        <v>374.5</v>
      </c>
      <c r="H222" s="108"/>
      <c r="I222" s="108">
        <v>374.5</v>
      </c>
      <c r="J222" s="108">
        <v>56</v>
      </c>
      <c r="K222" s="107"/>
      <c r="L222" s="6" t="s">
        <v>280</v>
      </c>
      <c r="M222" s="440"/>
    </row>
    <row r="223" spans="1:13" s="99" customFormat="1" ht="31.5" customHeight="1">
      <c r="A223" s="433"/>
      <c r="B223" s="561"/>
      <c r="C223" s="562"/>
      <c r="D223" s="1" t="s">
        <v>187</v>
      </c>
      <c r="E223" s="68">
        <f t="shared" si="35"/>
        <v>0</v>
      </c>
      <c r="F223" s="24"/>
      <c r="G223" s="26">
        <f t="shared" si="34"/>
        <v>0</v>
      </c>
      <c r="H223" s="26"/>
      <c r="I223" s="26">
        <v>0</v>
      </c>
      <c r="J223" s="26">
        <v>0</v>
      </c>
      <c r="K223" s="35"/>
      <c r="L223" s="6" t="s">
        <v>269</v>
      </c>
      <c r="M223" s="440"/>
    </row>
    <row r="224" spans="1:13" s="99" customFormat="1" ht="31.5" customHeight="1">
      <c r="A224" s="433"/>
      <c r="B224" s="561"/>
      <c r="C224" s="562"/>
      <c r="D224" s="1" t="s">
        <v>183</v>
      </c>
      <c r="E224" s="68">
        <f t="shared" si="35"/>
        <v>0</v>
      </c>
      <c r="F224" s="24"/>
      <c r="G224" s="26">
        <f t="shared" si="34"/>
        <v>0</v>
      </c>
      <c r="H224" s="26"/>
      <c r="I224" s="26">
        <v>0</v>
      </c>
      <c r="J224" s="26">
        <v>0</v>
      </c>
      <c r="K224" s="35"/>
      <c r="L224" s="6" t="s">
        <v>271</v>
      </c>
      <c r="M224" s="440"/>
    </row>
    <row r="225" spans="1:13" s="99" customFormat="1" ht="31.5" customHeight="1">
      <c r="A225" s="433"/>
      <c r="B225" s="561"/>
      <c r="C225" s="562"/>
      <c r="D225" s="1" t="s">
        <v>190</v>
      </c>
      <c r="E225" s="68">
        <f t="shared" si="35"/>
        <v>0</v>
      </c>
      <c r="F225" s="24"/>
      <c r="G225" s="26">
        <f t="shared" si="34"/>
        <v>0</v>
      </c>
      <c r="H225" s="26"/>
      <c r="I225" s="26">
        <v>0</v>
      </c>
      <c r="J225" s="26">
        <v>0</v>
      </c>
      <c r="K225" s="35"/>
      <c r="L225" s="6" t="s">
        <v>272</v>
      </c>
      <c r="M225" s="440"/>
    </row>
    <row r="226" spans="1:13" s="99" customFormat="1" ht="31.5" customHeight="1" thickBot="1">
      <c r="A226" s="565"/>
      <c r="B226" s="563"/>
      <c r="C226" s="564"/>
      <c r="D226" s="181" t="s">
        <v>270</v>
      </c>
      <c r="E226" s="173">
        <f t="shared" si="35"/>
        <v>148.2</v>
      </c>
      <c r="F226" s="166"/>
      <c r="G226" s="173">
        <f t="shared" si="34"/>
        <v>0</v>
      </c>
      <c r="H226" s="173"/>
      <c r="I226" s="173">
        <v>0</v>
      </c>
      <c r="J226" s="173">
        <v>148.2</v>
      </c>
      <c r="K226" s="167"/>
      <c r="L226" s="180" t="s">
        <v>281</v>
      </c>
      <c r="M226" s="567"/>
    </row>
    <row r="227" spans="1:13" s="70" customFormat="1" ht="34.5" customHeight="1">
      <c r="A227" s="675"/>
      <c r="B227" s="656" t="s">
        <v>28</v>
      </c>
      <c r="C227" s="657"/>
      <c r="D227" s="324">
        <v>2017</v>
      </c>
      <c r="E227" s="164">
        <f aca="true" t="shared" si="36" ref="E227:K227">E57+E78+E84+E92+E99+E107+E112+E205+E213</f>
        <v>3516.342</v>
      </c>
      <c r="F227" s="164">
        <f t="shared" si="36"/>
        <v>0</v>
      </c>
      <c r="G227" s="164">
        <f t="shared" si="36"/>
        <v>205.2</v>
      </c>
      <c r="H227" s="164">
        <f t="shared" si="36"/>
        <v>0</v>
      </c>
      <c r="I227" s="164">
        <f t="shared" si="36"/>
        <v>205.2</v>
      </c>
      <c r="J227" s="164">
        <f t="shared" si="36"/>
        <v>3311.142</v>
      </c>
      <c r="K227" s="164">
        <f t="shared" si="36"/>
        <v>0</v>
      </c>
      <c r="L227" s="325"/>
      <c r="M227" s="552"/>
    </row>
    <row r="228" spans="1:13" s="70" customFormat="1" ht="32.25" customHeight="1">
      <c r="A228" s="676"/>
      <c r="B228" s="658"/>
      <c r="C228" s="659"/>
      <c r="D228" s="43">
        <v>2018</v>
      </c>
      <c r="E228" s="24">
        <f aca="true" t="shared" si="37" ref="E228:K228">E58+E79+E85+E93+E101+E108+E119+E206</f>
        <v>3449.7360099999996</v>
      </c>
      <c r="F228" s="24">
        <f t="shared" si="37"/>
        <v>0</v>
      </c>
      <c r="G228" s="24">
        <f t="shared" si="37"/>
        <v>162.2</v>
      </c>
      <c r="H228" s="24">
        <f t="shared" si="37"/>
        <v>0</v>
      </c>
      <c r="I228" s="24">
        <f t="shared" si="37"/>
        <v>162.2</v>
      </c>
      <c r="J228" s="24">
        <f t="shared" si="37"/>
        <v>3287.53601</v>
      </c>
      <c r="K228" s="24">
        <f t="shared" si="37"/>
        <v>0</v>
      </c>
      <c r="L228" s="326"/>
      <c r="M228" s="552"/>
    </row>
    <row r="229" spans="1:13" s="70" customFormat="1" ht="32.25" customHeight="1">
      <c r="A229" s="676"/>
      <c r="B229" s="658"/>
      <c r="C229" s="659"/>
      <c r="D229" s="43">
        <v>2019</v>
      </c>
      <c r="E229" s="24">
        <f aca="true" t="shared" si="38" ref="E229:K229">E59+E80+E87+E94+E102+E109+E127+E166+E207+E212+E214+E216+E217</f>
        <v>1852.0430000000001</v>
      </c>
      <c r="F229" s="24">
        <f t="shared" si="38"/>
        <v>0</v>
      </c>
      <c r="G229" s="24">
        <f t="shared" si="38"/>
        <v>531.1</v>
      </c>
      <c r="H229" s="24">
        <f t="shared" si="38"/>
        <v>0</v>
      </c>
      <c r="I229" s="24">
        <f t="shared" si="38"/>
        <v>531.1</v>
      </c>
      <c r="J229" s="24">
        <f t="shared" si="38"/>
        <v>1320.9430000000002</v>
      </c>
      <c r="K229" s="24">
        <f t="shared" si="38"/>
        <v>0</v>
      </c>
      <c r="L229" s="327"/>
      <c r="M229" s="552"/>
    </row>
    <row r="230" spans="1:13" s="70" customFormat="1" ht="32.25" customHeight="1">
      <c r="A230" s="676"/>
      <c r="B230" s="658"/>
      <c r="C230" s="659"/>
      <c r="D230" s="43">
        <v>2020</v>
      </c>
      <c r="E230" s="24">
        <f aca="true" t="shared" si="39" ref="E230:K230">E60+E81+E88+E95+E103+E110+E135+E173+E208+E45+E218</f>
        <v>4785.139999999999</v>
      </c>
      <c r="F230" s="24">
        <f t="shared" si="39"/>
        <v>0</v>
      </c>
      <c r="G230" s="24">
        <f t="shared" si="39"/>
        <v>2236.2</v>
      </c>
      <c r="H230" s="24">
        <f t="shared" si="39"/>
        <v>1094.7</v>
      </c>
      <c r="I230" s="24">
        <f t="shared" si="39"/>
        <v>1141.5</v>
      </c>
      <c r="J230" s="24">
        <f t="shared" si="39"/>
        <v>2548.9399999999996</v>
      </c>
      <c r="K230" s="24">
        <f t="shared" si="39"/>
        <v>0</v>
      </c>
      <c r="L230" s="326"/>
      <c r="M230" s="552"/>
    </row>
    <row r="231" spans="1:13" s="70" customFormat="1" ht="32.25" customHeight="1">
      <c r="A231" s="676"/>
      <c r="B231" s="658"/>
      <c r="C231" s="659"/>
      <c r="D231" s="41">
        <v>2021</v>
      </c>
      <c r="E231" s="24">
        <f aca="true" t="shared" si="40" ref="E231:K231">E46+E55+E61+E82+E89+E96+E104+E111+E143+E181+E209</f>
        <v>7630.712</v>
      </c>
      <c r="F231" s="24">
        <f t="shared" si="40"/>
        <v>0</v>
      </c>
      <c r="G231" s="24">
        <f t="shared" si="40"/>
        <v>6799.3</v>
      </c>
      <c r="H231" s="24">
        <f t="shared" si="40"/>
        <v>6413.4</v>
      </c>
      <c r="I231" s="24">
        <f t="shared" si="40"/>
        <v>385.9</v>
      </c>
      <c r="J231" s="24">
        <f t="shared" si="40"/>
        <v>831.412</v>
      </c>
      <c r="K231" s="24">
        <f t="shared" si="40"/>
        <v>0</v>
      </c>
      <c r="L231" s="326"/>
      <c r="M231" s="552"/>
    </row>
    <row r="232" spans="1:13" s="70" customFormat="1" ht="29.25" customHeight="1">
      <c r="A232" s="676"/>
      <c r="B232" s="658"/>
      <c r="C232" s="659"/>
      <c r="D232" s="41">
        <v>2022</v>
      </c>
      <c r="E232" s="24">
        <f aca="true" t="shared" si="41" ref="E232:J232">E47+E62+E83+E90+E97+E105+E151+E189+E210+E76</f>
        <v>1939.2119999999998</v>
      </c>
      <c r="F232" s="24">
        <f t="shared" si="41"/>
        <v>0</v>
      </c>
      <c r="G232" s="24">
        <f t="shared" si="41"/>
        <v>1113.2</v>
      </c>
      <c r="H232" s="24">
        <f t="shared" si="41"/>
        <v>836</v>
      </c>
      <c r="I232" s="24">
        <f t="shared" si="41"/>
        <v>277.2</v>
      </c>
      <c r="J232" s="24">
        <f t="shared" si="41"/>
        <v>826.012</v>
      </c>
      <c r="K232" s="24">
        <f>K47+K62+K83+K90+K97+K105+K151+K189+K210</f>
        <v>0</v>
      </c>
      <c r="L232" s="326"/>
      <c r="M232" s="552"/>
    </row>
    <row r="233" spans="1:13" s="70" customFormat="1" ht="29.25" customHeight="1" thickBot="1">
      <c r="A233" s="677"/>
      <c r="B233" s="660"/>
      <c r="C233" s="661"/>
      <c r="D233" s="328">
        <v>2023</v>
      </c>
      <c r="E233" s="166">
        <f aca="true" t="shared" si="42" ref="E233:K233">E211+E197+E159+E106+E98+E91+E77+E63+E48</f>
        <v>847.212</v>
      </c>
      <c r="F233" s="166">
        <f t="shared" si="42"/>
        <v>0</v>
      </c>
      <c r="G233" s="166">
        <f t="shared" si="42"/>
        <v>163.2</v>
      </c>
      <c r="H233" s="166">
        <f t="shared" si="42"/>
        <v>0</v>
      </c>
      <c r="I233" s="166">
        <f t="shared" si="42"/>
        <v>163.2</v>
      </c>
      <c r="J233" s="166">
        <f t="shared" si="42"/>
        <v>684.012</v>
      </c>
      <c r="K233" s="166">
        <f t="shared" si="42"/>
        <v>0</v>
      </c>
      <c r="L233" s="329"/>
      <c r="M233" s="318"/>
    </row>
    <row r="234" spans="1:13" s="70" customFormat="1" ht="29.25" customHeight="1">
      <c r="A234" s="553" t="s">
        <v>129</v>
      </c>
      <c r="B234" s="554"/>
      <c r="C234" s="554"/>
      <c r="D234" s="554"/>
      <c r="E234" s="554"/>
      <c r="F234" s="554"/>
      <c r="G234" s="554"/>
      <c r="H234" s="554"/>
      <c r="I234" s="554"/>
      <c r="J234" s="554"/>
      <c r="K234" s="554"/>
      <c r="L234" s="554"/>
      <c r="M234" s="555"/>
    </row>
    <row r="235" spans="1:13" s="70" customFormat="1" ht="43.5" customHeight="1">
      <c r="A235" s="556" t="s">
        <v>130</v>
      </c>
      <c r="B235" s="557"/>
      <c r="C235" s="557"/>
      <c r="D235" s="557"/>
      <c r="E235" s="557"/>
      <c r="F235" s="557"/>
      <c r="G235" s="557"/>
      <c r="H235" s="557"/>
      <c r="I235" s="557"/>
      <c r="J235" s="557"/>
      <c r="K235" s="557"/>
      <c r="L235" s="557"/>
      <c r="M235" s="558"/>
    </row>
    <row r="236" spans="1:13" s="70" customFormat="1" ht="106.5" customHeight="1">
      <c r="A236" s="556" t="s">
        <v>154</v>
      </c>
      <c r="B236" s="557"/>
      <c r="C236" s="557"/>
      <c r="D236" s="557"/>
      <c r="E236" s="557"/>
      <c r="F236" s="557"/>
      <c r="G236" s="557"/>
      <c r="H236" s="557"/>
      <c r="I236" s="557"/>
      <c r="J236" s="557"/>
      <c r="K236" s="557"/>
      <c r="L236" s="557"/>
      <c r="M236" s="558"/>
    </row>
    <row r="237" spans="1:13" s="70" customFormat="1" ht="27" customHeight="1">
      <c r="A237" s="556" t="s">
        <v>2</v>
      </c>
      <c r="B237" s="557"/>
      <c r="C237" s="557"/>
      <c r="D237" s="557"/>
      <c r="E237" s="557"/>
      <c r="F237" s="557"/>
      <c r="G237" s="557"/>
      <c r="H237" s="557"/>
      <c r="I237" s="557"/>
      <c r="J237" s="557"/>
      <c r="K237" s="557"/>
      <c r="L237" s="557"/>
      <c r="M237" s="558"/>
    </row>
    <row r="238" spans="1:13" s="70" customFormat="1" ht="37.5" customHeight="1">
      <c r="A238" s="479" t="s">
        <v>99</v>
      </c>
      <c r="B238" s="510" t="s">
        <v>146</v>
      </c>
      <c r="C238" s="8" t="s">
        <v>149</v>
      </c>
      <c r="D238" s="4">
        <v>2017</v>
      </c>
      <c r="E238" s="13">
        <f>F238+G238+J238+K238</f>
        <v>15500.856</v>
      </c>
      <c r="F238" s="12"/>
      <c r="G238" s="13">
        <f>H238+I238</f>
        <v>0</v>
      </c>
      <c r="H238" s="13"/>
      <c r="I238" s="13"/>
      <c r="J238" s="13">
        <f>J290+J291+J292+J293+J294+J296</f>
        <v>15500.856</v>
      </c>
      <c r="K238" s="14">
        <v>0</v>
      </c>
      <c r="L238" s="391" t="s">
        <v>34</v>
      </c>
      <c r="M238" s="476" t="s">
        <v>64</v>
      </c>
    </row>
    <row r="239" spans="1:13" s="70" customFormat="1" ht="37.5" customHeight="1">
      <c r="A239" s="568"/>
      <c r="B239" s="511"/>
      <c r="C239" s="23" t="s">
        <v>131</v>
      </c>
      <c r="D239" s="44"/>
      <c r="E239" s="13">
        <f>F239+G239+J239+K239</f>
        <v>10933.428</v>
      </c>
      <c r="F239" s="12"/>
      <c r="G239" s="13">
        <f>H239+I239</f>
        <v>0</v>
      </c>
      <c r="H239" s="13"/>
      <c r="I239" s="13"/>
      <c r="J239" s="13">
        <f>J295</f>
        <v>10933.428</v>
      </c>
      <c r="K239" s="14">
        <v>0</v>
      </c>
      <c r="L239" s="391" t="s">
        <v>7</v>
      </c>
      <c r="M239" s="476"/>
    </row>
    <row r="240" spans="1:13" s="70" customFormat="1" ht="37.5" customHeight="1">
      <c r="A240" s="568"/>
      <c r="B240" s="511"/>
      <c r="C240" s="8" t="s">
        <v>149</v>
      </c>
      <c r="D240" s="4">
        <v>2018</v>
      </c>
      <c r="E240" s="13">
        <f>F240+G240+J240+K240</f>
        <v>28543.359</v>
      </c>
      <c r="F240" s="13"/>
      <c r="G240" s="13">
        <f>H240+I240</f>
        <v>0</v>
      </c>
      <c r="H240" s="13">
        <v>0</v>
      </c>
      <c r="I240" s="13">
        <v>0</v>
      </c>
      <c r="J240" s="13">
        <f>SUM(J241:J254)</f>
        <v>28543.359</v>
      </c>
      <c r="K240" s="40">
        <v>0</v>
      </c>
      <c r="L240" s="391"/>
      <c r="M240" s="476"/>
    </row>
    <row r="241" spans="1:13" s="70" customFormat="1" ht="24.75" customHeight="1">
      <c r="A241" s="568"/>
      <c r="B241" s="511"/>
      <c r="C241" s="8" t="s">
        <v>40</v>
      </c>
      <c r="D241" s="4"/>
      <c r="E241" s="13"/>
      <c r="F241" s="12"/>
      <c r="G241" s="12">
        <f aca="true" t="shared" si="43" ref="G241:G255">H241+I241</f>
        <v>0</v>
      </c>
      <c r="H241" s="12"/>
      <c r="I241" s="12"/>
      <c r="J241" s="12">
        <f>105.997+1553.242+30.82212-90.152</f>
        <v>1599.90912</v>
      </c>
      <c r="K241" s="14">
        <v>0</v>
      </c>
      <c r="L241" s="571" t="s">
        <v>7</v>
      </c>
      <c r="M241" s="476"/>
    </row>
    <row r="242" spans="1:13" s="70" customFormat="1" ht="24.75" customHeight="1">
      <c r="A242" s="568"/>
      <c r="B242" s="511"/>
      <c r="C242" s="8" t="s">
        <v>107</v>
      </c>
      <c r="D242" s="4"/>
      <c r="E242" s="13"/>
      <c r="F242" s="12"/>
      <c r="G242" s="12">
        <f t="shared" si="43"/>
        <v>0</v>
      </c>
      <c r="H242" s="12"/>
      <c r="I242" s="12"/>
      <c r="J242" s="15">
        <f>2647.00046-137.31778-3.0355</f>
        <v>2506.6471800000004</v>
      </c>
      <c r="K242" s="14">
        <v>0</v>
      </c>
      <c r="L242" s="571"/>
      <c r="M242" s="476"/>
    </row>
    <row r="243" spans="1:13" s="70" customFormat="1" ht="24.75" customHeight="1">
      <c r="A243" s="568"/>
      <c r="B243" s="511"/>
      <c r="C243" s="8" t="s">
        <v>109</v>
      </c>
      <c r="D243" s="4"/>
      <c r="E243" s="13"/>
      <c r="F243" s="12"/>
      <c r="G243" s="12">
        <f t="shared" si="43"/>
        <v>0</v>
      </c>
      <c r="H243" s="12"/>
      <c r="I243" s="12"/>
      <c r="J243" s="12">
        <f>19000-4993.27603+73.22078+64.097-230.15863</f>
        <v>13913.883119999999</v>
      </c>
      <c r="K243" s="14">
        <v>0</v>
      </c>
      <c r="L243" s="571"/>
      <c r="M243" s="476"/>
    </row>
    <row r="244" spans="1:13" s="70" customFormat="1" ht="24.75" customHeight="1">
      <c r="A244" s="568"/>
      <c r="B244" s="511"/>
      <c r="C244" s="8" t="s">
        <v>41</v>
      </c>
      <c r="D244" s="4"/>
      <c r="E244" s="13"/>
      <c r="F244" s="12"/>
      <c r="G244" s="12">
        <f t="shared" si="43"/>
        <v>0</v>
      </c>
      <c r="H244" s="12"/>
      <c r="I244" s="12"/>
      <c r="J244" s="12">
        <f>620.082-142.882</f>
        <v>477.2</v>
      </c>
      <c r="K244" s="14">
        <v>0</v>
      </c>
      <c r="L244" s="571"/>
      <c r="M244" s="476"/>
    </row>
    <row r="245" spans="1:13" s="70" customFormat="1" ht="24.75" customHeight="1">
      <c r="A245" s="568"/>
      <c r="B245" s="511"/>
      <c r="C245" s="8" t="s">
        <v>42</v>
      </c>
      <c r="D245" s="4"/>
      <c r="E245" s="13"/>
      <c r="F245" s="12"/>
      <c r="G245" s="12">
        <f t="shared" si="43"/>
        <v>0</v>
      </c>
      <c r="H245" s="12"/>
      <c r="I245" s="12"/>
      <c r="J245" s="12">
        <f>4446.112-526.952+1537.10326-314.81263</f>
        <v>5141.450629999999</v>
      </c>
      <c r="K245" s="14">
        <v>0</v>
      </c>
      <c r="L245" s="571"/>
      <c r="M245" s="476"/>
    </row>
    <row r="246" spans="1:13" s="70" customFormat="1" ht="24.75" customHeight="1">
      <c r="A246" s="568"/>
      <c r="B246" s="511"/>
      <c r="C246" s="8" t="s">
        <v>43</v>
      </c>
      <c r="D246" s="4"/>
      <c r="E246" s="13"/>
      <c r="F246" s="12"/>
      <c r="G246" s="12">
        <f t="shared" si="43"/>
        <v>0</v>
      </c>
      <c r="H246" s="12"/>
      <c r="I246" s="12"/>
      <c r="J246" s="12">
        <f>115.226+847.899+0.168</f>
        <v>963.293</v>
      </c>
      <c r="K246" s="14">
        <v>0</v>
      </c>
      <c r="L246" s="571"/>
      <c r="M246" s="476"/>
    </row>
    <row r="247" spans="1:13" s="70" customFormat="1" ht="24.75" customHeight="1">
      <c r="A247" s="568"/>
      <c r="B247" s="511"/>
      <c r="C247" s="8" t="s">
        <v>40</v>
      </c>
      <c r="D247" s="4"/>
      <c r="E247" s="13"/>
      <c r="F247" s="12"/>
      <c r="G247" s="12">
        <f t="shared" si="43"/>
        <v>0</v>
      </c>
      <c r="H247" s="12"/>
      <c r="I247" s="12"/>
      <c r="J247" s="12">
        <f>357.7+36.69771</f>
        <v>394.39770999999996</v>
      </c>
      <c r="K247" s="14">
        <v>0</v>
      </c>
      <c r="L247" s="393" t="s">
        <v>40</v>
      </c>
      <c r="M247" s="476"/>
    </row>
    <row r="248" spans="1:13" s="70" customFormat="1" ht="24.75" customHeight="1">
      <c r="A248" s="568"/>
      <c r="B248" s="511"/>
      <c r="C248" s="8" t="s">
        <v>107</v>
      </c>
      <c r="D248" s="4"/>
      <c r="E248" s="13"/>
      <c r="F248" s="12"/>
      <c r="G248" s="12">
        <f t="shared" si="43"/>
        <v>0</v>
      </c>
      <c r="H248" s="12"/>
      <c r="I248" s="12"/>
      <c r="J248" s="12">
        <f>105.779+362.898-106.319</f>
        <v>362.358</v>
      </c>
      <c r="K248" s="14">
        <v>0</v>
      </c>
      <c r="L248" s="393" t="s">
        <v>107</v>
      </c>
      <c r="M248" s="476"/>
    </row>
    <row r="249" spans="1:13" s="70" customFormat="1" ht="24.75" customHeight="1">
      <c r="A249" s="568"/>
      <c r="B249" s="511"/>
      <c r="C249" s="8" t="s">
        <v>41</v>
      </c>
      <c r="D249" s="4"/>
      <c r="E249" s="13"/>
      <c r="F249" s="12"/>
      <c r="G249" s="12">
        <f t="shared" si="43"/>
        <v>0</v>
      </c>
      <c r="H249" s="12"/>
      <c r="I249" s="12"/>
      <c r="J249" s="12">
        <v>0</v>
      </c>
      <c r="K249" s="14">
        <v>0</v>
      </c>
      <c r="L249" s="391"/>
      <c r="M249" s="476"/>
    </row>
    <row r="250" spans="1:13" s="70" customFormat="1" ht="24.75" customHeight="1">
      <c r="A250" s="568"/>
      <c r="B250" s="511"/>
      <c r="C250" s="8" t="s">
        <v>42</v>
      </c>
      <c r="D250" s="4"/>
      <c r="E250" s="13"/>
      <c r="F250" s="12"/>
      <c r="G250" s="12">
        <f t="shared" si="43"/>
        <v>0</v>
      </c>
      <c r="H250" s="12"/>
      <c r="I250" s="12"/>
      <c r="J250" s="12">
        <f>196.448+30+275.818-26.184</f>
        <v>476.08199999999994</v>
      </c>
      <c r="K250" s="14">
        <v>0</v>
      </c>
      <c r="L250" s="391" t="s">
        <v>45</v>
      </c>
      <c r="M250" s="476"/>
    </row>
    <row r="251" spans="1:13" s="70" customFormat="1" ht="24.75" customHeight="1">
      <c r="A251" s="568"/>
      <c r="B251" s="511"/>
      <c r="C251" s="8" t="s">
        <v>43</v>
      </c>
      <c r="D251" s="4"/>
      <c r="E251" s="13"/>
      <c r="F251" s="12"/>
      <c r="G251" s="12">
        <f t="shared" si="43"/>
        <v>0</v>
      </c>
      <c r="H251" s="12"/>
      <c r="I251" s="12"/>
      <c r="J251" s="12">
        <f>624.103+100+900+26.6</f>
        <v>1650.703</v>
      </c>
      <c r="K251" s="14">
        <v>0</v>
      </c>
      <c r="L251" s="391" t="s">
        <v>46</v>
      </c>
      <c r="M251" s="476"/>
    </row>
    <row r="252" spans="1:13" s="70" customFormat="1" ht="24.75" customHeight="1">
      <c r="A252" s="568"/>
      <c r="B252" s="511"/>
      <c r="C252" s="8"/>
      <c r="D252" s="4"/>
      <c r="E252" s="13"/>
      <c r="F252" s="12"/>
      <c r="G252" s="12">
        <f>H252+I252</f>
        <v>0</v>
      </c>
      <c r="H252" s="12"/>
      <c r="I252" s="12"/>
      <c r="J252" s="12">
        <v>0</v>
      </c>
      <c r="K252" s="14">
        <v>0</v>
      </c>
      <c r="L252" s="391" t="s">
        <v>47</v>
      </c>
      <c r="M252" s="476"/>
    </row>
    <row r="253" spans="1:13" s="70" customFormat="1" ht="24.75" customHeight="1">
      <c r="A253" s="568"/>
      <c r="B253" s="511"/>
      <c r="C253" s="8" t="s">
        <v>44</v>
      </c>
      <c r="D253" s="4"/>
      <c r="E253" s="13"/>
      <c r="F253" s="12"/>
      <c r="G253" s="12">
        <f t="shared" si="43"/>
        <v>0</v>
      </c>
      <c r="H253" s="12"/>
      <c r="I253" s="12"/>
      <c r="J253" s="12">
        <f>491.117-443.682+838.97984-0.0006</f>
        <v>886.41424</v>
      </c>
      <c r="K253" s="14">
        <v>0</v>
      </c>
      <c r="L253" s="391" t="s">
        <v>47</v>
      </c>
      <c r="M253" s="476"/>
    </row>
    <row r="254" spans="1:13" s="70" customFormat="1" ht="24.75" customHeight="1">
      <c r="A254" s="568"/>
      <c r="B254" s="511"/>
      <c r="C254" s="8" t="s">
        <v>44</v>
      </c>
      <c r="D254" s="4"/>
      <c r="E254" s="13"/>
      <c r="F254" s="12"/>
      <c r="G254" s="12">
        <f t="shared" si="43"/>
        <v>0</v>
      </c>
      <c r="H254" s="12"/>
      <c r="I254" s="12"/>
      <c r="J254" s="51">
        <f>147.021+24</f>
        <v>171.021</v>
      </c>
      <c r="K254" s="14">
        <v>0</v>
      </c>
      <c r="L254" s="391" t="s">
        <v>111</v>
      </c>
      <c r="M254" s="476"/>
    </row>
    <row r="255" spans="1:13" s="70" customFormat="1" ht="24.75" customHeight="1" thickBot="1">
      <c r="A255" s="568"/>
      <c r="B255" s="511"/>
      <c r="C255" s="110"/>
      <c r="D255" s="112"/>
      <c r="E255" s="127"/>
      <c r="F255" s="128"/>
      <c r="G255" s="128">
        <f t="shared" si="43"/>
        <v>0</v>
      </c>
      <c r="H255" s="128"/>
      <c r="I255" s="128"/>
      <c r="J255" s="129">
        <v>0</v>
      </c>
      <c r="K255" s="130">
        <v>0</v>
      </c>
      <c r="L255" s="391"/>
      <c r="M255" s="476"/>
    </row>
    <row r="256" spans="1:13" s="70" customFormat="1" ht="24.75" customHeight="1" thickBot="1">
      <c r="A256" s="568"/>
      <c r="B256" s="488"/>
      <c r="C256" s="134"/>
      <c r="D256" s="135">
        <v>2019</v>
      </c>
      <c r="E256" s="136">
        <f>F256+G256+J256+K256</f>
        <v>25876.25605</v>
      </c>
      <c r="F256" s="136">
        <f aca="true" t="shared" si="44" ref="F256:K256">SUM(F257:F270)</f>
        <v>0</v>
      </c>
      <c r="G256" s="136">
        <f t="shared" si="44"/>
        <v>0</v>
      </c>
      <c r="H256" s="136">
        <f t="shared" si="44"/>
        <v>0</v>
      </c>
      <c r="I256" s="136">
        <f t="shared" si="44"/>
        <v>0</v>
      </c>
      <c r="J256" s="136">
        <f t="shared" si="44"/>
        <v>25876.25605</v>
      </c>
      <c r="K256" s="137">
        <f t="shared" si="44"/>
        <v>0</v>
      </c>
      <c r="L256" s="392" t="s">
        <v>7</v>
      </c>
      <c r="M256" s="476"/>
    </row>
    <row r="257" spans="1:13" s="70" customFormat="1" ht="24.75" customHeight="1">
      <c r="A257" s="568"/>
      <c r="B257" s="511"/>
      <c r="C257" s="111" t="s">
        <v>126</v>
      </c>
      <c r="D257" s="113"/>
      <c r="E257" s="131">
        <f aca="true" t="shared" si="45" ref="E257:E286">F257+G257+J257+K257</f>
        <v>1159.92432</v>
      </c>
      <c r="F257" s="131"/>
      <c r="G257" s="131">
        <f aca="true" t="shared" si="46" ref="G257:G286">H257+I257</f>
        <v>0</v>
      </c>
      <c r="H257" s="131"/>
      <c r="I257" s="132"/>
      <c r="J257" s="131">
        <f>1350-190.07568</f>
        <v>1159.92432</v>
      </c>
      <c r="K257" s="133">
        <v>0</v>
      </c>
      <c r="L257" s="386" t="s">
        <v>7</v>
      </c>
      <c r="M257" s="476"/>
    </row>
    <row r="258" spans="1:13" s="70" customFormat="1" ht="24.75" customHeight="1">
      <c r="A258" s="568"/>
      <c r="B258" s="511"/>
      <c r="C258" s="8" t="s">
        <v>127</v>
      </c>
      <c r="D258" s="4"/>
      <c r="E258" s="12">
        <f t="shared" si="45"/>
        <v>17673.222</v>
      </c>
      <c r="F258" s="12"/>
      <c r="G258" s="12">
        <f t="shared" si="46"/>
        <v>0</v>
      </c>
      <c r="H258" s="12"/>
      <c r="I258" s="13"/>
      <c r="J258" s="12">
        <f>17794.4248-121.2028</f>
        <v>17673.222</v>
      </c>
      <c r="K258" s="14"/>
      <c r="L258" s="386" t="s">
        <v>7</v>
      </c>
      <c r="M258" s="476"/>
    </row>
    <row r="259" spans="1:13" s="70" customFormat="1" ht="24.75" customHeight="1">
      <c r="A259" s="568"/>
      <c r="B259" s="511"/>
      <c r="C259" s="8" t="s">
        <v>128</v>
      </c>
      <c r="D259" s="4"/>
      <c r="E259" s="12">
        <f t="shared" si="45"/>
        <v>0</v>
      </c>
      <c r="F259" s="12"/>
      <c r="G259" s="12">
        <f t="shared" si="46"/>
        <v>0</v>
      </c>
      <c r="H259" s="12"/>
      <c r="I259" s="13"/>
      <c r="J259" s="12">
        <f>500-159.431-340.569</f>
        <v>0</v>
      </c>
      <c r="K259" s="14"/>
      <c r="L259" s="386" t="s">
        <v>7</v>
      </c>
      <c r="M259" s="476"/>
    </row>
    <row r="260" spans="1:13" s="70" customFormat="1" ht="24.75" customHeight="1">
      <c r="A260" s="568"/>
      <c r="B260" s="511"/>
      <c r="C260" s="8" t="s">
        <v>106</v>
      </c>
      <c r="D260" s="4"/>
      <c r="E260" s="12">
        <f t="shared" si="45"/>
        <v>2109.1145</v>
      </c>
      <c r="F260" s="12"/>
      <c r="G260" s="12">
        <f t="shared" si="46"/>
        <v>0</v>
      </c>
      <c r="H260" s="12"/>
      <c r="I260" s="12">
        <v>0</v>
      </c>
      <c r="J260" s="12">
        <f>1797.73863+313.37887-2.003</f>
        <v>2109.1145</v>
      </c>
      <c r="K260" s="14"/>
      <c r="L260" s="386" t="s">
        <v>7</v>
      </c>
      <c r="M260" s="476"/>
    </row>
    <row r="261" spans="1:13" s="70" customFormat="1" ht="24.75" customHeight="1">
      <c r="A261" s="568"/>
      <c r="B261" s="511"/>
      <c r="C261" s="8" t="s">
        <v>106</v>
      </c>
      <c r="D261" s="4"/>
      <c r="E261" s="12">
        <f t="shared" si="45"/>
        <v>0</v>
      </c>
      <c r="F261" s="12"/>
      <c r="G261" s="12">
        <f t="shared" si="46"/>
        <v>0</v>
      </c>
      <c r="H261" s="12"/>
      <c r="I261" s="12"/>
      <c r="J261" s="12">
        <v>0</v>
      </c>
      <c r="K261" s="14"/>
      <c r="L261" s="386" t="s">
        <v>204</v>
      </c>
      <c r="M261" s="476"/>
    </row>
    <row r="262" spans="1:13" s="70" customFormat="1" ht="24.75" customHeight="1">
      <c r="A262" s="568"/>
      <c r="B262" s="511"/>
      <c r="C262" s="8" t="s">
        <v>46</v>
      </c>
      <c r="D262" s="4"/>
      <c r="E262" s="12">
        <f t="shared" si="45"/>
        <v>1830.5851200000002</v>
      </c>
      <c r="F262" s="12"/>
      <c r="G262" s="12">
        <f t="shared" si="46"/>
        <v>0</v>
      </c>
      <c r="H262" s="12"/>
      <c r="I262" s="13"/>
      <c r="J262" s="12">
        <f>1841.35064-10.76552</f>
        <v>1830.5851200000002</v>
      </c>
      <c r="K262" s="14"/>
      <c r="L262" s="386" t="s">
        <v>7</v>
      </c>
      <c r="M262" s="476"/>
    </row>
    <row r="263" spans="1:13" s="70" customFormat="1" ht="24.75" customHeight="1">
      <c r="A263" s="568"/>
      <c r="B263" s="511"/>
      <c r="C263" s="8" t="s">
        <v>205</v>
      </c>
      <c r="D263" s="4"/>
      <c r="E263" s="12">
        <f t="shared" si="45"/>
        <v>0</v>
      </c>
      <c r="F263" s="12"/>
      <c r="G263" s="12">
        <f t="shared" si="46"/>
        <v>0</v>
      </c>
      <c r="H263" s="12"/>
      <c r="I263" s="13"/>
      <c r="J263" s="12">
        <v>0</v>
      </c>
      <c r="K263" s="14"/>
      <c r="L263" s="386" t="s">
        <v>7</v>
      </c>
      <c r="M263" s="476"/>
    </row>
    <row r="264" spans="1:13" s="70" customFormat="1" ht="24.75" customHeight="1">
      <c r="A264" s="568"/>
      <c r="B264" s="511"/>
      <c r="C264" s="8" t="s">
        <v>126</v>
      </c>
      <c r="D264" s="4"/>
      <c r="E264" s="12">
        <f t="shared" si="45"/>
        <v>200</v>
      </c>
      <c r="F264" s="12"/>
      <c r="G264" s="12">
        <f t="shared" si="46"/>
        <v>0</v>
      </c>
      <c r="H264" s="12"/>
      <c r="I264" s="13"/>
      <c r="J264" s="12">
        <v>200</v>
      </c>
      <c r="K264" s="14"/>
      <c r="L264" s="386" t="s">
        <v>126</v>
      </c>
      <c r="M264" s="476"/>
    </row>
    <row r="265" spans="1:13" s="70" customFormat="1" ht="24.75" customHeight="1">
      <c r="A265" s="568"/>
      <c r="B265" s="511"/>
      <c r="C265" s="8" t="s">
        <v>127</v>
      </c>
      <c r="D265" s="4"/>
      <c r="E265" s="12">
        <f>F265+G265+J265+K265</f>
        <v>262.6042</v>
      </c>
      <c r="F265" s="12"/>
      <c r="G265" s="12">
        <f>H265+I265</f>
        <v>0</v>
      </c>
      <c r="H265" s="12"/>
      <c r="I265" s="13"/>
      <c r="J265" s="12">
        <f>340.773-78.1688</f>
        <v>262.6042</v>
      </c>
      <c r="K265" s="14"/>
      <c r="L265" s="386" t="s">
        <v>127</v>
      </c>
      <c r="M265" s="476"/>
    </row>
    <row r="266" spans="1:13" s="70" customFormat="1" ht="24.75" customHeight="1">
      <c r="A266" s="568"/>
      <c r="B266" s="511"/>
      <c r="C266" s="8" t="s">
        <v>128</v>
      </c>
      <c r="D266" s="4"/>
      <c r="E266" s="12">
        <f t="shared" si="45"/>
        <v>277.714</v>
      </c>
      <c r="F266" s="12"/>
      <c r="G266" s="12">
        <f t="shared" si="46"/>
        <v>0</v>
      </c>
      <c r="H266" s="12"/>
      <c r="I266" s="13"/>
      <c r="J266" s="12">
        <f>159.431+118.283</f>
        <v>277.714</v>
      </c>
      <c r="K266" s="14"/>
      <c r="L266" s="386" t="s">
        <v>128</v>
      </c>
      <c r="M266" s="476"/>
    </row>
    <row r="267" spans="1:13" s="70" customFormat="1" ht="24.75" customHeight="1">
      <c r="A267" s="568"/>
      <c r="B267" s="511"/>
      <c r="C267" s="8" t="s">
        <v>106</v>
      </c>
      <c r="D267" s="4"/>
      <c r="E267" s="12">
        <f t="shared" si="45"/>
        <v>1940.84825</v>
      </c>
      <c r="F267" s="12"/>
      <c r="G267" s="12">
        <f t="shared" si="46"/>
        <v>0</v>
      </c>
      <c r="H267" s="12"/>
      <c r="I267" s="13"/>
      <c r="J267" s="12">
        <f>2430.61771-489.76946</f>
        <v>1940.84825</v>
      </c>
      <c r="K267" s="14"/>
      <c r="L267" s="386" t="s">
        <v>151</v>
      </c>
      <c r="M267" s="476"/>
    </row>
    <row r="268" spans="1:13" s="70" customFormat="1" ht="24.75" customHeight="1">
      <c r="A268" s="568"/>
      <c r="B268" s="511"/>
      <c r="C268" s="8" t="s">
        <v>46</v>
      </c>
      <c r="D268" s="4"/>
      <c r="E268" s="12">
        <f t="shared" si="45"/>
        <v>422.24366</v>
      </c>
      <c r="F268" s="12"/>
      <c r="G268" s="12">
        <f t="shared" si="46"/>
        <v>0</v>
      </c>
      <c r="H268" s="12"/>
      <c r="I268" s="13"/>
      <c r="J268" s="12">
        <f>301.36966+120.874</f>
        <v>422.24366</v>
      </c>
      <c r="K268" s="14"/>
      <c r="L268" s="386" t="s">
        <v>150</v>
      </c>
      <c r="M268" s="476"/>
    </row>
    <row r="269" spans="1:13" s="70" customFormat="1" ht="24.75" customHeight="1">
      <c r="A269" s="568"/>
      <c r="B269" s="511"/>
      <c r="C269" s="8"/>
      <c r="D269" s="4"/>
      <c r="E269" s="12">
        <f t="shared" si="45"/>
        <v>0</v>
      </c>
      <c r="F269" s="12"/>
      <c r="G269" s="12">
        <f t="shared" si="46"/>
        <v>0</v>
      </c>
      <c r="H269" s="12"/>
      <c r="I269" s="13"/>
      <c r="J269" s="12">
        <v>0</v>
      </c>
      <c r="K269" s="14"/>
      <c r="L269" s="66"/>
      <c r="M269" s="476"/>
    </row>
    <row r="270" spans="1:13" s="70" customFormat="1" ht="24.75" customHeight="1" thickBot="1">
      <c r="A270" s="568"/>
      <c r="B270" s="570"/>
      <c r="C270" s="8"/>
      <c r="D270" s="112"/>
      <c r="E270" s="128">
        <f t="shared" si="45"/>
        <v>0</v>
      </c>
      <c r="F270" s="128"/>
      <c r="G270" s="128">
        <f t="shared" si="46"/>
        <v>0</v>
      </c>
      <c r="H270" s="128"/>
      <c r="I270" s="127"/>
      <c r="J270" s="128">
        <v>0</v>
      </c>
      <c r="K270" s="130"/>
      <c r="L270" s="66"/>
      <c r="M270" s="476"/>
    </row>
    <row r="271" spans="1:13" s="70" customFormat="1" ht="30" customHeight="1" thickBot="1">
      <c r="A271" s="568"/>
      <c r="B271" s="423" t="s">
        <v>146</v>
      </c>
      <c r="C271" s="138"/>
      <c r="D271" s="140">
        <v>2020</v>
      </c>
      <c r="E271" s="136">
        <f aca="true" t="shared" si="47" ref="E271:J271">SUM(E272:E280)</f>
        <v>16089.10028</v>
      </c>
      <c r="F271" s="136">
        <f t="shared" si="47"/>
        <v>0</v>
      </c>
      <c r="G271" s="136">
        <f t="shared" si="47"/>
        <v>0</v>
      </c>
      <c r="H271" s="136">
        <f t="shared" si="47"/>
        <v>0</v>
      </c>
      <c r="I271" s="136">
        <f t="shared" si="47"/>
        <v>0</v>
      </c>
      <c r="J271" s="136">
        <f t="shared" si="47"/>
        <v>16089.10028</v>
      </c>
      <c r="K271" s="136">
        <f>SUM(K272:K279)</f>
        <v>0</v>
      </c>
      <c r="L271" s="139"/>
      <c r="M271" s="476"/>
    </row>
    <row r="272" spans="1:13" s="70" customFormat="1" ht="30" customHeight="1">
      <c r="A272" s="568"/>
      <c r="B272" s="424"/>
      <c r="C272" s="8" t="s">
        <v>127</v>
      </c>
      <c r="D272" s="114"/>
      <c r="E272" s="141">
        <f t="shared" si="45"/>
        <v>7193.6005000000005</v>
      </c>
      <c r="F272" s="141"/>
      <c r="G272" s="141">
        <f aca="true" t="shared" si="48" ref="G272:G280">H272+I272</f>
        <v>0</v>
      </c>
      <c r="H272" s="141"/>
      <c r="I272" s="142"/>
      <c r="J272" s="141">
        <f>11000-3806.3995</f>
        <v>7193.6005000000005</v>
      </c>
      <c r="K272" s="143"/>
      <c r="L272" s="386" t="s">
        <v>7</v>
      </c>
      <c r="M272" s="476"/>
    </row>
    <row r="273" spans="1:13" s="70" customFormat="1" ht="30" customHeight="1">
      <c r="A273" s="568"/>
      <c r="B273" s="424"/>
      <c r="C273" s="138" t="s">
        <v>106</v>
      </c>
      <c r="D273" s="4"/>
      <c r="E273" s="12">
        <f t="shared" si="45"/>
        <v>3174.7489</v>
      </c>
      <c r="F273" s="12"/>
      <c r="G273" s="12">
        <f t="shared" si="48"/>
        <v>0</v>
      </c>
      <c r="H273" s="12"/>
      <c r="I273" s="13"/>
      <c r="J273" s="12">
        <f>7142.742-3660.764-307.2291</f>
        <v>3174.7489</v>
      </c>
      <c r="K273" s="14"/>
      <c r="L273" s="387" t="s">
        <v>252</v>
      </c>
      <c r="M273" s="476"/>
    </row>
    <row r="274" spans="1:13" s="70" customFormat="1" ht="30" customHeight="1">
      <c r="A274" s="568"/>
      <c r="B274" s="424"/>
      <c r="C274" s="138" t="s">
        <v>44</v>
      </c>
      <c r="D274" s="4"/>
      <c r="E274" s="12">
        <f t="shared" si="45"/>
        <v>1601.9008800000001</v>
      </c>
      <c r="F274" s="12"/>
      <c r="G274" s="12">
        <f t="shared" si="48"/>
        <v>0</v>
      </c>
      <c r="H274" s="12"/>
      <c r="I274" s="13"/>
      <c r="J274" s="12">
        <f>2400-794.205-3.89412</f>
        <v>1601.9008800000001</v>
      </c>
      <c r="K274" s="14"/>
      <c r="L274" s="387" t="s">
        <v>252</v>
      </c>
      <c r="M274" s="476"/>
    </row>
    <row r="275" spans="1:13" s="70" customFormat="1" ht="30" customHeight="1">
      <c r="A275" s="568"/>
      <c r="B275" s="424"/>
      <c r="C275" s="138" t="s">
        <v>46</v>
      </c>
      <c r="D275" s="112"/>
      <c r="E275" s="12">
        <f t="shared" si="45"/>
        <v>1065.624</v>
      </c>
      <c r="F275" s="128"/>
      <c r="G275" s="12">
        <f t="shared" si="48"/>
        <v>0</v>
      </c>
      <c r="H275" s="128"/>
      <c r="I275" s="127"/>
      <c r="J275" s="128">
        <v>1065.624</v>
      </c>
      <c r="K275" s="130"/>
      <c r="L275" s="387" t="s">
        <v>47</v>
      </c>
      <c r="M275" s="476"/>
    </row>
    <row r="276" spans="1:13" s="70" customFormat="1" ht="30" customHeight="1">
      <c r="A276" s="568"/>
      <c r="B276" s="424"/>
      <c r="C276" s="138" t="s">
        <v>106</v>
      </c>
      <c r="D276" s="112"/>
      <c r="E276" s="12">
        <f t="shared" si="45"/>
        <v>50.313</v>
      </c>
      <c r="F276" s="128"/>
      <c r="G276" s="12">
        <f t="shared" si="48"/>
        <v>0</v>
      </c>
      <c r="H276" s="128"/>
      <c r="I276" s="127"/>
      <c r="J276" s="128">
        <f>100-49.687</f>
        <v>50.313</v>
      </c>
      <c r="K276" s="130"/>
      <c r="L276" s="387" t="s">
        <v>106</v>
      </c>
      <c r="M276" s="476"/>
    </row>
    <row r="277" spans="1:13" s="70" customFormat="1" ht="30" customHeight="1">
      <c r="A277" s="568"/>
      <c r="B277" s="424"/>
      <c r="C277" s="138" t="s">
        <v>46</v>
      </c>
      <c r="D277" s="112"/>
      <c r="E277" s="12">
        <f t="shared" si="45"/>
        <v>2169.525</v>
      </c>
      <c r="F277" s="128"/>
      <c r="G277" s="12">
        <f t="shared" si="48"/>
        <v>0</v>
      </c>
      <c r="H277" s="128"/>
      <c r="I277" s="127"/>
      <c r="J277" s="128">
        <f>1699.525+470</f>
        <v>2169.525</v>
      </c>
      <c r="K277" s="130"/>
      <c r="L277" s="387" t="s">
        <v>46</v>
      </c>
      <c r="M277" s="476"/>
    </row>
    <row r="278" spans="1:13" s="70" customFormat="1" ht="30" customHeight="1">
      <c r="A278" s="568"/>
      <c r="B278" s="424"/>
      <c r="C278" s="138" t="s">
        <v>126</v>
      </c>
      <c r="D278" s="112"/>
      <c r="E278" s="12">
        <f t="shared" si="45"/>
        <v>342.134</v>
      </c>
      <c r="F278" s="128"/>
      <c r="G278" s="12">
        <f t="shared" si="48"/>
        <v>0</v>
      </c>
      <c r="H278" s="128"/>
      <c r="I278" s="127"/>
      <c r="J278" s="128">
        <v>342.134</v>
      </c>
      <c r="K278" s="130"/>
      <c r="L278" s="387" t="s">
        <v>126</v>
      </c>
      <c r="M278" s="476"/>
    </row>
    <row r="279" spans="1:13" s="70" customFormat="1" ht="30" customHeight="1">
      <c r="A279" s="568"/>
      <c r="B279" s="424"/>
      <c r="C279" s="411" t="s">
        <v>127</v>
      </c>
      <c r="D279" s="112"/>
      <c r="E279" s="128">
        <f t="shared" si="45"/>
        <v>66.985</v>
      </c>
      <c r="F279" s="128"/>
      <c r="G279" s="128">
        <f t="shared" si="48"/>
        <v>0</v>
      </c>
      <c r="H279" s="128"/>
      <c r="I279" s="127"/>
      <c r="J279" s="128">
        <v>66.985</v>
      </c>
      <c r="K279" s="130"/>
      <c r="L279" s="388" t="s">
        <v>127</v>
      </c>
      <c r="M279" s="476"/>
    </row>
    <row r="280" spans="1:13" s="70" customFormat="1" ht="30" customHeight="1" thickBot="1">
      <c r="A280" s="568"/>
      <c r="B280" s="425"/>
      <c r="C280" s="110" t="s">
        <v>44</v>
      </c>
      <c r="D280" s="112"/>
      <c r="E280" s="128">
        <f t="shared" si="45"/>
        <v>424.269</v>
      </c>
      <c r="F280" s="128"/>
      <c r="G280" s="128">
        <f t="shared" si="48"/>
        <v>0</v>
      </c>
      <c r="H280" s="128"/>
      <c r="I280" s="127"/>
      <c r="J280" s="128">
        <f>495.342-71.073</f>
        <v>424.269</v>
      </c>
      <c r="K280" s="130"/>
      <c r="L280" s="389" t="s">
        <v>44</v>
      </c>
      <c r="M280" s="476"/>
    </row>
    <row r="281" spans="1:13" s="70" customFormat="1" ht="24.75" customHeight="1" thickBot="1">
      <c r="A281" s="568"/>
      <c r="B281" s="486" t="s">
        <v>146</v>
      </c>
      <c r="C281" s="251"/>
      <c r="D281" s="140">
        <v>2021</v>
      </c>
      <c r="E281" s="136">
        <f aca="true" t="shared" si="49" ref="E281:K281">E282</f>
        <v>22888.568</v>
      </c>
      <c r="F281" s="136">
        <f t="shared" si="49"/>
        <v>0</v>
      </c>
      <c r="G281" s="136">
        <f t="shared" si="49"/>
        <v>0</v>
      </c>
      <c r="H281" s="136">
        <f t="shared" si="49"/>
        <v>0</v>
      </c>
      <c r="I281" s="136">
        <f t="shared" si="49"/>
        <v>0</v>
      </c>
      <c r="J281" s="136">
        <f t="shared" si="49"/>
        <v>22888.568</v>
      </c>
      <c r="K281" s="137">
        <f t="shared" si="49"/>
        <v>0</v>
      </c>
      <c r="L281" s="390"/>
      <c r="M281" s="476"/>
    </row>
    <row r="282" spans="1:13" s="70" customFormat="1" ht="29.25" customHeight="1" thickBot="1">
      <c r="A282" s="568"/>
      <c r="B282" s="570"/>
      <c r="C282" s="280" t="s">
        <v>127</v>
      </c>
      <c r="D282" s="114"/>
      <c r="E282" s="141">
        <f t="shared" si="45"/>
        <v>22888.568</v>
      </c>
      <c r="F282" s="141"/>
      <c r="G282" s="141"/>
      <c r="H282" s="141"/>
      <c r="I282" s="142"/>
      <c r="J282" s="141">
        <v>22888.568</v>
      </c>
      <c r="K282" s="143"/>
      <c r="L282" s="386" t="s">
        <v>7</v>
      </c>
      <c r="M282" s="476"/>
    </row>
    <row r="283" spans="1:13" s="70" customFormat="1" ht="33" customHeight="1" thickBot="1">
      <c r="A283" s="568"/>
      <c r="B283" s="486" t="s">
        <v>146</v>
      </c>
      <c r="C283" s="227"/>
      <c r="D283" s="140">
        <v>2022</v>
      </c>
      <c r="E283" s="136">
        <f aca="true" t="shared" si="50" ref="E283:K283">E284</f>
        <v>20972.961</v>
      </c>
      <c r="F283" s="136">
        <f t="shared" si="50"/>
        <v>0</v>
      </c>
      <c r="G283" s="136">
        <f t="shared" si="50"/>
        <v>0</v>
      </c>
      <c r="H283" s="136">
        <f t="shared" si="50"/>
        <v>0</v>
      </c>
      <c r="I283" s="136">
        <f t="shared" si="50"/>
        <v>0</v>
      </c>
      <c r="J283" s="136">
        <f t="shared" si="50"/>
        <v>20972.961</v>
      </c>
      <c r="K283" s="137">
        <f t="shared" si="50"/>
        <v>0</v>
      </c>
      <c r="L283" s="387"/>
      <c r="M283" s="476"/>
    </row>
    <row r="284" spans="1:13" s="70" customFormat="1" ht="24.75" customHeight="1">
      <c r="A284" s="568"/>
      <c r="B284" s="570"/>
      <c r="C284" s="111" t="s">
        <v>127</v>
      </c>
      <c r="D284" s="113">
        <v>2022</v>
      </c>
      <c r="E284" s="131">
        <f t="shared" si="45"/>
        <v>20972.961</v>
      </c>
      <c r="F284" s="131"/>
      <c r="G284" s="131"/>
      <c r="H284" s="131"/>
      <c r="I284" s="132"/>
      <c r="J284" s="131">
        <v>20972.961</v>
      </c>
      <c r="K284" s="133"/>
      <c r="L284" s="386" t="s">
        <v>7</v>
      </c>
      <c r="M284" s="476"/>
    </row>
    <row r="285" spans="1:13" s="70" customFormat="1" ht="24.75" customHeight="1">
      <c r="A285" s="568"/>
      <c r="B285" s="67"/>
      <c r="C285" s="8" t="s">
        <v>111</v>
      </c>
      <c r="D285" s="4">
        <v>2019</v>
      </c>
      <c r="E285" s="12">
        <f t="shared" si="45"/>
        <v>0</v>
      </c>
      <c r="F285" s="12"/>
      <c r="G285" s="12">
        <f t="shared" si="46"/>
        <v>0</v>
      </c>
      <c r="H285" s="12"/>
      <c r="I285" s="12"/>
      <c r="J285" s="13">
        <v>0</v>
      </c>
      <c r="K285" s="14"/>
      <c r="L285" s="386" t="s">
        <v>160</v>
      </c>
      <c r="M285" s="476"/>
    </row>
    <row r="286" spans="1:13" s="70" customFormat="1" ht="24.75" customHeight="1">
      <c r="A286" s="568"/>
      <c r="B286" s="572" t="s">
        <v>146</v>
      </c>
      <c r="C286" s="8"/>
      <c r="D286" s="4"/>
      <c r="E286" s="12">
        <f t="shared" si="45"/>
        <v>0</v>
      </c>
      <c r="F286" s="12"/>
      <c r="G286" s="12">
        <f t="shared" si="46"/>
        <v>0</v>
      </c>
      <c r="H286" s="12"/>
      <c r="I286" s="13"/>
      <c r="J286" s="12">
        <v>0</v>
      </c>
      <c r="K286" s="14"/>
      <c r="L286" s="386"/>
      <c r="M286" s="476"/>
    </row>
    <row r="287" spans="1:13" s="70" customFormat="1" ht="24.75" customHeight="1">
      <c r="A287" s="568"/>
      <c r="B287" s="573"/>
      <c r="C287" s="8"/>
      <c r="D287" s="4">
        <v>2020</v>
      </c>
      <c r="E287" s="13">
        <f>F287+G287+J287+K287</f>
        <v>0</v>
      </c>
      <c r="F287" s="12"/>
      <c r="G287" s="12">
        <f>H287+I287</f>
        <v>0</v>
      </c>
      <c r="H287" s="12"/>
      <c r="I287" s="13"/>
      <c r="J287" s="13">
        <v>0</v>
      </c>
      <c r="K287" s="14">
        <v>0</v>
      </c>
      <c r="L287" s="391" t="s">
        <v>7</v>
      </c>
      <c r="M287" s="476"/>
    </row>
    <row r="288" spans="1:13" s="70" customFormat="1" ht="24.75" customHeight="1">
      <c r="A288" s="568"/>
      <c r="B288" s="573"/>
      <c r="C288" s="8"/>
      <c r="D288" s="4">
        <v>2021</v>
      </c>
      <c r="E288" s="13">
        <f>F288+G288+J288+K288</f>
        <v>0</v>
      </c>
      <c r="F288" s="12"/>
      <c r="G288" s="12">
        <f>H288+I288</f>
        <v>0</v>
      </c>
      <c r="H288" s="12"/>
      <c r="I288" s="13"/>
      <c r="J288" s="13">
        <v>0</v>
      </c>
      <c r="K288" s="14">
        <v>0</v>
      </c>
      <c r="L288" s="391" t="s">
        <v>7</v>
      </c>
      <c r="M288" s="476"/>
    </row>
    <row r="289" spans="1:13" s="70" customFormat="1" ht="24.75" customHeight="1">
      <c r="A289" s="569"/>
      <c r="B289" s="574"/>
      <c r="C289" s="8"/>
      <c r="D289" s="4">
        <v>2022</v>
      </c>
      <c r="E289" s="13">
        <f aca="true" t="shared" si="51" ref="E289:E304">F289+G289+J289+K289</f>
        <v>0</v>
      </c>
      <c r="F289" s="12"/>
      <c r="G289" s="12">
        <f>H289+I289</f>
        <v>0</v>
      </c>
      <c r="H289" s="12"/>
      <c r="I289" s="13"/>
      <c r="J289" s="13">
        <v>0</v>
      </c>
      <c r="K289" s="14">
        <v>0</v>
      </c>
      <c r="L289" s="391" t="s">
        <v>7</v>
      </c>
      <c r="M289" s="476"/>
    </row>
    <row r="290" spans="1:13" s="70" customFormat="1" ht="24.75" customHeight="1">
      <c r="A290" s="501" t="s">
        <v>82</v>
      </c>
      <c r="B290" s="476" t="s">
        <v>132</v>
      </c>
      <c r="C290" s="8" t="s">
        <v>107</v>
      </c>
      <c r="D290" s="431">
        <v>2017</v>
      </c>
      <c r="E290" s="13">
        <f t="shared" si="51"/>
        <v>6400.301</v>
      </c>
      <c r="F290" s="12"/>
      <c r="G290" s="12">
        <f aca="true" t="shared" si="52" ref="G290:G296">H290+I290</f>
        <v>0</v>
      </c>
      <c r="H290" s="12"/>
      <c r="I290" s="13"/>
      <c r="J290" s="13">
        <v>6400.301</v>
      </c>
      <c r="K290" s="14">
        <v>0</v>
      </c>
      <c r="L290" s="391" t="s">
        <v>7</v>
      </c>
      <c r="M290" s="476"/>
    </row>
    <row r="291" spans="1:13" s="70" customFormat="1" ht="24.75" customHeight="1">
      <c r="A291" s="501"/>
      <c r="B291" s="476"/>
      <c r="C291" s="8" t="s">
        <v>41</v>
      </c>
      <c r="D291" s="431"/>
      <c r="E291" s="13">
        <f t="shared" si="51"/>
        <v>1458.533</v>
      </c>
      <c r="F291" s="12"/>
      <c r="G291" s="12">
        <f t="shared" si="52"/>
        <v>0</v>
      </c>
      <c r="H291" s="12"/>
      <c r="I291" s="13"/>
      <c r="J291" s="13">
        <v>1458.533</v>
      </c>
      <c r="K291" s="14">
        <v>0</v>
      </c>
      <c r="L291" s="391" t="s">
        <v>3</v>
      </c>
      <c r="M291" s="476"/>
    </row>
    <row r="292" spans="1:13" s="70" customFormat="1" ht="24.75" customHeight="1">
      <c r="A292" s="501" t="s">
        <v>83</v>
      </c>
      <c r="B292" s="476" t="s">
        <v>133</v>
      </c>
      <c r="C292" s="8" t="s">
        <v>42</v>
      </c>
      <c r="D292" s="450">
        <v>2017</v>
      </c>
      <c r="E292" s="13">
        <f t="shared" si="51"/>
        <v>2177.928</v>
      </c>
      <c r="F292" s="12"/>
      <c r="G292" s="17">
        <f t="shared" si="52"/>
        <v>0</v>
      </c>
      <c r="H292" s="17"/>
      <c r="I292" s="18"/>
      <c r="J292" s="18">
        <v>2177.928</v>
      </c>
      <c r="K292" s="19">
        <v>0</v>
      </c>
      <c r="L292" s="391" t="s">
        <v>7</v>
      </c>
      <c r="M292" s="476"/>
    </row>
    <row r="293" spans="1:13" s="70" customFormat="1" ht="36" customHeight="1">
      <c r="A293" s="501"/>
      <c r="B293" s="476"/>
      <c r="C293" s="8" t="s">
        <v>43</v>
      </c>
      <c r="D293" s="450"/>
      <c r="E293" s="13">
        <f t="shared" si="51"/>
        <v>431.162</v>
      </c>
      <c r="F293" s="12"/>
      <c r="G293" s="17">
        <f t="shared" si="52"/>
        <v>0</v>
      </c>
      <c r="H293" s="17"/>
      <c r="I293" s="18"/>
      <c r="J293" s="18">
        <v>431.162</v>
      </c>
      <c r="K293" s="19">
        <v>0</v>
      </c>
      <c r="L293" s="391" t="s">
        <v>3</v>
      </c>
      <c r="M293" s="476"/>
    </row>
    <row r="294" spans="1:13" s="70" customFormat="1" ht="24.75" customHeight="1">
      <c r="A294" s="501" t="s">
        <v>145</v>
      </c>
      <c r="B294" s="476" t="s">
        <v>84</v>
      </c>
      <c r="C294" s="8"/>
      <c r="D294" s="450">
        <v>2017</v>
      </c>
      <c r="E294" s="13">
        <f t="shared" si="51"/>
        <v>4135.29</v>
      </c>
      <c r="F294" s="12"/>
      <c r="G294" s="17">
        <f t="shared" si="52"/>
        <v>0</v>
      </c>
      <c r="H294" s="17"/>
      <c r="I294" s="18"/>
      <c r="J294" s="18">
        <v>4135.29</v>
      </c>
      <c r="K294" s="19">
        <v>0</v>
      </c>
      <c r="L294" s="571" t="s">
        <v>7</v>
      </c>
      <c r="M294" s="476"/>
    </row>
    <row r="295" spans="1:13" s="70" customFormat="1" ht="24.75" customHeight="1">
      <c r="A295" s="501"/>
      <c r="B295" s="476"/>
      <c r="C295" s="8" t="s">
        <v>149</v>
      </c>
      <c r="D295" s="450"/>
      <c r="E295" s="13">
        <f t="shared" si="51"/>
        <v>10933.428</v>
      </c>
      <c r="F295" s="12"/>
      <c r="G295" s="17">
        <f t="shared" si="52"/>
        <v>0</v>
      </c>
      <c r="H295" s="17"/>
      <c r="I295" s="18"/>
      <c r="J295" s="18">
        <v>10933.428</v>
      </c>
      <c r="K295" s="19">
        <v>0</v>
      </c>
      <c r="L295" s="571"/>
      <c r="M295" s="476"/>
    </row>
    <row r="296" spans="1:13" s="70" customFormat="1" ht="31.5" customHeight="1" thickBot="1">
      <c r="A296" s="501"/>
      <c r="B296" s="476"/>
      <c r="C296" s="8" t="s">
        <v>149</v>
      </c>
      <c r="D296" s="575"/>
      <c r="E296" s="127">
        <f t="shared" si="51"/>
        <v>897.642</v>
      </c>
      <c r="F296" s="128"/>
      <c r="G296" s="146">
        <f t="shared" si="52"/>
        <v>0</v>
      </c>
      <c r="H296" s="146"/>
      <c r="I296" s="147"/>
      <c r="J296" s="147">
        <v>897.642</v>
      </c>
      <c r="K296" s="148">
        <v>0</v>
      </c>
      <c r="L296" s="391" t="s">
        <v>3</v>
      </c>
      <c r="M296" s="476"/>
    </row>
    <row r="297" spans="1:13" s="70" customFormat="1" ht="24.75" customHeight="1" thickBot="1">
      <c r="A297" s="426" t="s">
        <v>101</v>
      </c>
      <c r="B297" s="423" t="s">
        <v>102</v>
      </c>
      <c r="C297" s="144"/>
      <c r="D297" s="154">
        <v>2018</v>
      </c>
      <c r="E297" s="136">
        <f>F297+J297+K297</f>
        <v>1130.874</v>
      </c>
      <c r="F297" s="155">
        <f aca="true" t="shared" si="53" ref="F297:K297">SUM(F298:F304)</f>
        <v>0</v>
      </c>
      <c r="G297" s="155">
        <f t="shared" si="53"/>
        <v>0</v>
      </c>
      <c r="H297" s="155">
        <f t="shared" si="53"/>
        <v>0</v>
      </c>
      <c r="I297" s="155">
        <f t="shared" si="53"/>
        <v>0</v>
      </c>
      <c r="J297" s="155">
        <f t="shared" si="53"/>
        <v>1130.874</v>
      </c>
      <c r="K297" s="156">
        <f t="shared" si="53"/>
        <v>0</v>
      </c>
      <c r="L297" s="145"/>
      <c r="M297" s="510" t="s">
        <v>108</v>
      </c>
    </row>
    <row r="298" spans="1:13" s="70" customFormat="1" ht="24.75" customHeight="1">
      <c r="A298" s="427"/>
      <c r="B298" s="424"/>
      <c r="C298" s="49"/>
      <c r="D298" s="149"/>
      <c r="E298" s="131">
        <f>F298+G298+J298+K298</f>
        <v>0</v>
      </c>
      <c r="F298" s="150"/>
      <c r="G298" s="151">
        <f aca="true" t="shared" si="54" ref="G298:G304">H298+I298</f>
        <v>0</v>
      </c>
      <c r="H298" s="152"/>
      <c r="I298" s="151">
        <v>0</v>
      </c>
      <c r="J298" s="151">
        <v>0</v>
      </c>
      <c r="K298" s="153"/>
      <c r="L298" s="54"/>
      <c r="M298" s="511"/>
    </row>
    <row r="299" spans="1:13" s="70" customFormat="1" ht="24.75" customHeight="1">
      <c r="A299" s="427"/>
      <c r="B299" s="424"/>
      <c r="C299" s="49" t="s">
        <v>103</v>
      </c>
      <c r="D299" s="7"/>
      <c r="E299" s="12">
        <f t="shared" si="51"/>
        <v>32.401</v>
      </c>
      <c r="F299" s="16"/>
      <c r="G299" s="17">
        <f t="shared" si="54"/>
        <v>0</v>
      </c>
      <c r="H299" s="17"/>
      <c r="I299" s="18"/>
      <c r="J299" s="12">
        <f>24+9.98-1.579</f>
        <v>32.401</v>
      </c>
      <c r="K299" s="19"/>
      <c r="L299" s="5" t="s">
        <v>103</v>
      </c>
      <c r="M299" s="511"/>
    </row>
    <row r="300" spans="1:13" s="70" customFormat="1" ht="24.75" customHeight="1">
      <c r="A300" s="427"/>
      <c r="B300" s="424"/>
      <c r="C300" s="49" t="s">
        <v>104</v>
      </c>
      <c r="D300" s="7"/>
      <c r="E300" s="12">
        <f t="shared" si="51"/>
        <v>202.33000000000004</v>
      </c>
      <c r="F300" s="16"/>
      <c r="G300" s="17">
        <f t="shared" si="54"/>
        <v>0</v>
      </c>
      <c r="H300" s="17"/>
      <c r="I300" s="18"/>
      <c r="J300" s="12">
        <f>304.8-99.63174-2.83826</f>
        <v>202.33000000000004</v>
      </c>
      <c r="K300" s="19"/>
      <c r="L300" s="5" t="s">
        <v>104</v>
      </c>
      <c r="M300" s="511"/>
    </row>
    <row r="301" spans="1:13" s="70" customFormat="1" ht="24.75" customHeight="1">
      <c r="A301" s="427"/>
      <c r="B301" s="424"/>
      <c r="C301" s="49" t="s">
        <v>105</v>
      </c>
      <c r="D301" s="7"/>
      <c r="E301" s="12">
        <f t="shared" si="51"/>
        <v>193.929</v>
      </c>
      <c r="F301" s="16"/>
      <c r="G301" s="17">
        <f t="shared" si="54"/>
        <v>0</v>
      </c>
      <c r="H301" s="17"/>
      <c r="I301" s="18"/>
      <c r="J301" s="17">
        <f>138.5+55.429</f>
        <v>193.929</v>
      </c>
      <c r="K301" s="19"/>
      <c r="L301" s="5" t="s">
        <v>105</v>
      </c>
      <c r="M301" s="511"/>
    </row>
    <row r="302" spans="1:13" s="70" customFormat="1" ht="24.75" customHeight="1">
      <c r="A302" s="427"/>
      <c r="B302" s="424"/>
      <c r="C302" s="49"/>
      <c r="D302" s="7"/>
      <c r="E302" s="12">
        <f>F302+G302+J302+K302</f>
        <v>522.2139999999999</v>
      </c>
      <c r="F302" s="16"/>
      <c r="G302" s="17">
        <f t="shared" si="54"/>
        <v>0</v>
      </c>
      <c r="H302" s="17"/>
      <c r="I302" s="18"/>
      <c r="J302" s="17">
        <f>874-134.152-30-249.634+62</f>
        <v>522.2139999999999</v>
      </c>
      <c r="K302" s="19"/>
      <c r="L302" s="5" t="s">
        <v>106</v>
      </c>
      <c r="M302" s="511"/>
    </row>
    <row r="303" spans="1:13" s="70" customFormat="1" ht="24.75" customHeight="1">
      <c r="A303" s="427"/>
      <c r="B303" s="424"/>
      <c r="C303" s="49"/>
      <c r="D303" s="7"/>
      <c r="E303" s="12">
        <f t="shared" si="51"/>
        <v>40</v>
      </c>
      <c r="F303" s="16"/>
      <c r="G303" s="17">
        <f t="shared" si="54"/>
        <v>0</v>
      </c>
      <c r="H303" s="17"/>
      <c r="I303" s="18"/>
      <c r="J303" s="17">
        <f>100-60</f>
        <v>40</v>
      </c>
      <c r="K303" s="19"/>
      <c r="L303" s="5" t="s">
        <v>46</v>
      </c>
      <c r="M303" s="511"/>
    </row>
    <row r="304" spans="1:13" s="70" customFormat="1" ht="24.75" customHeight="1" thickBot="1">
      <c r="A304" s="427"/>
      <c r="B304" s="424"/>
      <c r="C304" s="226"/>
      <c r="D304" s="55"/>
      <c r="E304" s="128">
        <f t="shared" si="51"/>
        <v>140</v>
      </c>
      <c r="F304" s="157"/>
      <c r="G304" s="146">
        <f t="shared" si="54"/>
        <v>0</v>
      </c>
      <c r="H304" s="146"/>
      <c r="I304" s="147"/>
      <c r="J304" s="146">
        <f>165-25</f>
        <v>140</v>
      </c>
      <c r="K304" s="148"/>
      <c r="L304" s="230" t="s">
        <v>44</v>
      </c>
      <c r="M304" s="570"/>
    </row>
    <row r="305" spans="1:13" s="70" customFormat="1" ht="26.25" customHeight="1" thickBot="1">
      <c r="A305" s="427"/>
      <c r="B305" s="440"/>
      <c r="C305" s="227"/>
      <c r="D305" s="154">
        <v>2019</v>
      </c>
      <c r="E305" s="155">
        <f aca="true" t="shared" si="55" ref="E305:K305">SUM(E306:E307)</f>
        <v>195.01735000000002</v>
      </c>
      <c r="F305" s="155">
        <f t="shared" si="55"/>
        <v>0</v>
      </c>
      <c r="G305" s="155">
        <f t="shared" si="55"/>
        <v>0</v>
      </c>
      <c r="H305" s="155">
        <f t="shared" si="55"/>
        <v>0</v>
      </c>
      <c r="I305" s="155">
        <f t="shared" si="55"/>
        <v>0</v>
      </c>
      <c r="J305" s="155">
        <f t="shared" si="55"/>
        <v>195.01735000000002</v>
      </c>
      <c r="K305" s="156">
        <f t="shared" si="55"/>
        <v>0</v>
      </c>
      <c r="L305" s="231"/>
      <c r="M305" s="516"/>
    </row>
    <row r="306" spans="1:13" s="70" customFormat="1" ht="33" customHeight="1">
      <c r="A306" s="427"/>
      <c r="B306" s="424"/>
      <c r="C306" s="82" t="s">
        <v>105</v>
      </c>
      <c r="D306" s="149">
        <v>2019</v>
      </c>
      <c r="E306" s="151">
        <f>F306+G306+J306</f>
        <v>126.36635000000001</v>
      </c>
      <c r="F306" s="151"/>
      <c r="G306" s="151">
        <f>H306+I306</f>
        <v>0</v>
      </c>
      <c r="H306" s="151"/>
      <c r="I306" s="151"/>
      <c r="J306" s="151">
        <f>400-273.63365</f>
        <v>126.36635000000001</v>
      </c>
      <c r="K306" s="152"/>
      <c r="L306" s="186" t="s">
        <v>105</v>
      </c>
      <c r="M306" s="476"/>
    </row>
    <row r="307" spans="1:13" s="70" customFormat="1" ht="33" customHeight="1" thickBot="1">
      <c r="A307" s="427"/>
      <c r="B307" s="424"/>
      <c r="C307" s="110" t="s">
        <v>42</v>
      </c>
      <c r="D307" s="225">
        <v>2019</v>
      </c>
      <c r="E307" s="146">
        <f>F307+G307+J307</f>
        <v>68.651</v>
      </c>
      <c r="F307" s="146"/>
      <c r="G307" s="146">
        <f>H307+I307</f>
        <v>0</v>
      </c>
      <c r="H307" s="146"/>
      <c r="I307" s="146"/>
      <c r="J307" s="146">
        <v>68.651</v>
      </c>
      <c r="K307" s="147"/>
      <c r="L307" s="230" t="s">
        <v>42</v>
      </c>
      <c r="M307" s="476"/>
    </row>
    <row r="308" spans="1:13" s="70" customFormat="1" ht="24.75" customHeight="1" thickBot="1">
      <c r="A308" s="427"/>
      <c r="B308" s="440"/>
      <c r="C308" s="134"/>
      <c r="D308" s="228">
        <v>2020</v>
      </c>
      <c r="E308" s="136">
        <f>F308+G308+J308+K308</f>
        <v>305.43</v>
      </c>
      <c r="F308" s="136">
        <v>0</v>
      </c>
      <c r="G308" s="136">
        <v>0</v>
      </c>
      <c r="H308" s="136">
        <v>0</v>
      </c>
      <c r="I308" s="136">
        <v>0</v>
      </c>
      <c r="J308" s="136">
        <f>SUM(J309:J313)</f>
        <v>305.43</v>
      </c>
      <c r="K308" s="232">
        <v>0</v>
      </c>
      <c r="L308" s="233"/>
      <c r="M308" s="516"/>
    </row>
    <row r="309" spans="1:13" s="70" customFormat="1" ht="24.75" customHeight="1" thickBot="1">
      <c r="A309" s="427"/>
      <c r="B309" s="424"/>
      <c r="C309" s="111" t="s">
        <v>106</v>
      </c>
      <c r="D309" s="73"/>
      <c r="E309" s="229">
        <f>F309+G309+J309+K309</f>
        <v>0</v>
      </c>
      <c r="F309" s="131"/>
      <c r="G309" s="131">
        <f>H309+I309</f>
        <v>0</v>
      </c>
      <c r="H309" s="131"/>
      <c r="I309" s="132"/>
      <c r="J309" s="131">
        <f>67.144-67.144</f>
        <v>0</v>
      </c>
      <c r="K309" s="133"/>
      <c r="L309" s="5" t="s">
        <v>7</v>
      </c>
      <c r="M309" s="476"/>
    </row>
    <row r="310" spans="1:13" s="70" customFormat="1" ht="24.75" customHeight="1" thickBot="1">
      <c r="A310" s="427"/>
      <c r="B310" s="424"/>
      <c r="C310" s="111" t="s">
        <v>127</v>
      </c>
      <c r="D310" s="73"/>
      <c r="E310" s="229">
        <f>F310+G310+J310+K310</f>
        <v>250</v>
      </c>
      <c r="F310" s="131"/>
      <c r="G310" s="131">
        <f>H310+I310</f>
        <v>0</v>
      </c>
      <c r="H310" s="131"/>
      <c r="I310" s="132"/>
      <c r="J310" s="131">
        <v>250</v>
      </c>
      <c r="K310" s="133"/>
      <c r="L310" s="109" t="s">
        <v>127</v>
      </c>
      <c r="M310" s="476"/>
    </row>
    <row r="311" spans="1:13" s="70" customFormat="1" ht="24.75" customHeight="1" thickBot="1">
      <c r="A311" s="427"/>
      <c r="B311" s="424"/>
      <c r="C311" s="280" t="s">
        <v>128</v>
      </c>
      <c r="D311" s="55"/>
      <c r="E311" s="412">
        <f>F311+G311+J311+K311</f>
        <v>55.43</v>
      </c>
      <c r="F311" s="128"/>
      <c r="G311" s="141">
        <f>H311+I311</f>
        <v>0</v>
      </c>
      <c r="H311" s="128"/>
      <c r="I311" s="127"/>
      <c r="J311" s="128">
        <v>55.43</v>
      </c>
      <c r="K311" s="130"/>
      <c r="L311" s="224" t="s">
        <v>128</v>
      </c>
      <c r="M311" s="476"/>
    </row>
    <row r="312" spans="1:13" s="70" customFormat="1" ht="24.75" customHeight="1" thickBot="1">
      <c r="A312" s="427"/>
      <c r="B312" s="440"/>
      <c r="C312" s="134"/>
      <c r="D312" s="228">
        <v>2021</v>
      </c>
      <c r="E312" s="229">
        <f>F312+G312+K312</f>
        <v>0</v>
      </c>
      <c r="F312" s="229">
        <v>0</v>
      </c>
      <c r="G312" s="229">
        <f>H312+I312</f>
        <v>0</v>
      </c>
      <c r="H312" s="229">
        <v>0</v>
      </c>
      <c r="I312" s="229">
        <v>0</v>
      </c>
      <c r="J312" s="229">
        <v>0</v>
      </c>
      <c r="K312" s="234">
        <v>0</v>
      </c>
      <c r="L312" s="235"/>
      <c r="M312" s="516"/>
    </row>
    <row r="313" spans="1:13" s="70" customFormat="1" ht="24.75" customHeight="1" thickBot="1">
      <c r="A313" s="428"/>
      <c r="B313" s="442"/>
      <c r="C313" s="134"/>
      <c r="D313" s="228">
        <v>2022</v>
      </c>
      <c r="E313" s="229">
        <f>F313+G313+K313</f>
        <v>0</v>
      </c>
      <c r="F313" s="229">
        <v>0</v>
      </c>
      <c r="G313" s="229">
        <f>H313+I313</f>
        <v>0</v>
      </c>
      <c r="H313" s="229">
        <v>0</v>
      </c>
      <c r="I313" s="229">
        <v>0</v>
      </c>
      <c r="J313" s="229">
        <v>0</v>
      </c>
      <c r="K313" s="234">
        <v>0</v>
      </c>
      <c r="L313" s="235"/>
      <c r="M313" s="516"/>
    </row>
    <row r="314" spans="1:13" s="70" customFormat="1" ht="28.5" customHeight="1" thickBot="1">
      <c r="A314" s="501" t="s">
        <v>115</v>
      </c>
      <c r="B314" s="476" t="s">
        <v>192</v>
      </c>
      <c r="C314" s="236"/>
      <c r="D314" s="237">
        <v>2019</v>
      </c>
      <c r="E314" s="238">
        <f aca="true" t="shared" si="56" ref="E314:K314">E318+E319+E320+E321+E322+E323+E324+E325</f>
        <v>498</v>
      </c>
      <c r="F314" s="238">
        <f t="shared" si="56"/>
        <v>0</v>
      </c>
      <c r="G314" s="238">
        <f t="shared" si="56"/>
        <v>473.00000000000006</v>
      </c>
      <c r="H314" s="238">
        <f t="shared" si="56"/>
        <v>0</v>
      </c>
      <c r="I314" s="238">
        <f t="shared" si="56"/>
        <v>473.00000000000006</v>
      </c>
      <c r="J314" s="238">
        <f t="shared" si="56"/>
        <v>25</v>
      </c>
      <c r="K314" s="239">
        <f t="shared" si="56"/>
        <v>0</v>
      </c>
      <c r="L314" s="240"/>
      <c r="M314" s="23"/>
    </row>
    <row r="315" spans="1:13" s="70" customFormat="1" ht="33" customHeight="1">
      <c r="A315" s="501"/>
      <c r="B315" s="476"/>
      <c r="C315" s="8"/>
      <c r="D315" s="73">
        <v>2020</v>
      </c>
      <c r="E315" s="131">
        <v>0</v>
      </c>
      <c r="F315" s="131">
        <v>0</v>
      </c>
      <c r="G315" s="131">
        <v>0</v>
      </c>
      <c r="H315" s="131">
        <v>0</v>
      </c>
      <c r="I315" s="131">
        <v>0</v>
      </c>
      <c r="J315" s="131">
        <v>0</v>
      </c>
      <c r="K315" s="133">
        <v>0</v>
      </c>
      <c r="L315" s="5"/>
      <c r="M315" s="23"/>
    </row>
    <row r="316" spans="1:13" s="70" customFormat="1" ht="31.5" customHeight="1">
      <c r="A316" s="501"/>
      <c r="B316" s="476"/>
      <c r="C316" s="8"/>
      <c r="D316" s="7">
        <v>2021</v>
      </c>
      <c r="E316" s="12">
        <v>0</v>
      </c>
      <c r="F316" s="12">
        <v>0</v>
      </c>
      <c r="G316" s="12">
        <v>0</v>
      </c>
      <c r="H316" s="12">
        <v>0</v>
      </c>
      <c r="I316" s="12">
        <v>0</v>
      </c>
      <c r="J316" s="12">
        <v>0</v>
      </c>
      <c r="K316" s="14">
        <v>0</v>
      </c>
      <c r="L316" s="5"/>
      <c r="M316" s="23"/>
    </row>
    <row r="317" spans="1:13" s="70" customFormat="1" ht="25.5" customHeight="1">
      <c r="A317" s="501"/>
      <c r="B317" s="476"/>
      <c r="C317" s="8"/>
      <c r="D317" s="7">
        <v>2022</v>
      </c>
      <c r="E317" s="12">
        <v>0</v>
      </c>
      <c r="F317" s="12">
        <v>0</v>
      </c>
      <c r="G317" s="12">
        <v>0</v>
      </c>
      <c r="H317" s="12">
        <v>0</v>
      </c>
      <c r="I317" s="12">
        <v>0</v>
      </c>
      <c r="J317" s="12">
        <v>0</v>
      </c>
      <c r="K317" s="14">
        <v>0</v>
      </c>
      <c r="L317" s="5"/>
      <c r="M317" s="23"/>
    </row>
    <row r="318" spans="1:13" s="70" customFormat="1" ht="43.5" customHeight="1">
      <c r="A318" s="501" t="s">
        <v>114</v>
      </c>
      <c r="B318" s="96" t="s">
        <v>173</v>
      </c>
      <c r="C318" s="6" t="s">
        <v>42</v>
      </c>
      <c r="D318" s="1">
        <v>2019</v>
      </c>
      <c r="E318" s="12">
        <f aca="true" t="shared" si="57" ref="E318:E325">F318+G318+J318+K318</f>
        <v>8.6</v>
      </c>
      <c r="F318" s="12"/>
      <c r="G318" s="12">
        <f>H318+I318</f>
        <v>0</v>
      </c>
      <c r="H318" s="12"/>
      <c r="I318" s="12">
        <v>0</v>
      </c>
      <c r="J318" s="12">
        <v>8.6</v>
      </c>
      <c r="K318" s="14">
        <v>0</v>
      </c>
      <c r="L318" s="5" t="s">
        <v>106</v>
      </c>
      <c r="M318" s="476"/>
    </row>
    <row r="319" spans="1:13" s="70" customFormat="1" ht="54" customHeight="1">
      <c r="A319" s="501"/>
      <c r="B319" s="96" t="s">
        <v>135</v>
      </c>
      <c r="C319" s="6" t="s">
        <v>43</v>
      </c>
      <c r="D319" s="1">
        <v>2019</v>
      </c>
      <c r="E319" s="12">
        <f t="shared" si="57"/>
        <v>15.4</v>
      </c>
      <c r="F319" s="12"/>
      <c r="G319" s="12">
        <f aca="true" t="shared" si="58" ref="G319:G325">H319+I319</f>
        <v>15.4</v>
      </c>
      <c r="H319" s="12"/>
      <c r="I319" s="12">
        <v>15.4</v>
      </c>
      <c r="J319" s="12">
        <v>0</v>
      </c>
      <c r="K319" s="14">
        <v>0</v>
      </c>
      <c r="L319" s="5" t="s">
        <v>46</v>
      </c>
      <c r="M319" s="476"/>
    </row>
    <row r="320" spans="1:13" s="70" customFormat="1" ht="82.5" customHeight="1">
      <c r="A320" s="74" t="s">
        <v>116</v>
      </c>
      <c r="B320" s="23" t="s">
        <v>174</v>
      </c>
      <c r="C320" s="6" t="s">
        <v>42</v>
      </c>
      <c r="D320" s="1">
        <v>2019</v>
      </c>
      <c r="E320" s="12">
        <f t="shared" si="57"/>
        <v>137.612</v>
      </c>
      <c r="F320" s="12"/>
      <c r="G320" s="12">
        <f t="shared" si="58"/>
        <v>137.612</v>
      </c>
      <c r="H320" s="12"/>
      <c r="I320" s="12">
        <v>137.612</v>
      </c>
      <c r="J320" s="12">
        <v>0</v>
      </c>
      <c r="K320" s="14">
        <v>0</v>
      </c>
      <c r="L320" s="5" t="s">
        <v>106</v>
      </c>
      <c r="M320" s="23" t="s">
        <v>121</v>
      </c>
    </row>
    <row r="321" spans="1:13" s="70" customFormat="1" ht="77.25" customHeight="1">
      <c r="A321" s="74" t="s">
        <v>117</v>
      </c>
      <c r="B321" s="23" t="s">
        <v>175</v>
      </c>
      <c r="C321" s="6" t="s">
        <v>42</v>
      </c>
      <c r="D321" s="1">
        <v>2019</v>
      </c>
      <c r="E321" s="12">
        <f t="shared" si="57"/>
        <v>131.693</v>
      </c>
      <c r="F321" s="12"/>
      <c r="G321" s="12">
        <f>H321+I321</f>
        <v>131.693</v>
      </c>
      <c r="H321" s="12"/>
      <c r="I321" s="12">
        <f>120.581+11.112</f>
        <v>131.693</v>
      </c>
      <c r="J321" s="12">
        <v>0</v>
      </c>
      <c r="K321" s="14">
        <v>0</v>
      </c>
      <c r="L321" s="5" t="s">
        <v>106</v>
      </c>
      <c r="M321" s="476" t="s">
        <v>122</v>
      </c>
    </row>
    <row r="322" spans="1:13" s="70" customFormat="1" ht="75" customHeight="1">
      <c r="A322" s="501" t="s">
        <v>118</v>
      </c>
      <c r="B322" s="23" t="s">
        <v>176</v>
      </c>
      <c r="C322" s="6" t="s">
        <v>42</v>
      </c>
      <c r="D322" s="1">
        <v>2019</v>
      </c>
      <c r="E322" s="12">
        <f t="shared" si="57"/>
        <v>44.018</v>
      </c>
      <c r="F322" s="12"/>
      <c r="G322" s="12">
        <f t="shared" si="58"/>
        <v>36.039</v>
      </c>
      <c r="H322" s="12"/>
      <c r="I322" s="12">
        <f>44.018-7.979</f>
        <v>36.039</v>
      </c>
      <c r="J322" s="12">
        <f>16.579-8.6</f>
        <v>7.979000000000001</v>
      </c>
      <c r="K322" s="14">
        <v>0</v>
      </c>
      <c r="L322" s="5" t="s">
        <v>106</v>
      </c>
      <c r="M322" s="476"/>
    </row>
    <row r="323" spans="1:13" s="70" customFormat="1" ht="73.5" customHeight="1">
      <c r="A323" s="501"/>
      <c r="B323" s="23" t="s">
        <v>177</v>
      </c>
      <c r="C323" s="6" t="s">
        <v>42</v>
      </c>
      <c r="D323" s="1">
        <v>2019</v>
      </c>
      <c r="E323" s="12">
        <f t="shared" si="57"/>
        <v>7.656000000000001</v>
      </c>
      <c r="F323" s="12"/>
      <c r="G323" s="12">
        <f t="shared" si="58"/>
        <v>7.656000000000001</v>
      </c>
      <c r="H323" s="12"/>
      <c r="I323" s="12">
        <f>18.768-11.112</f>
        <v>7.656000000000001</v>
      </c>
      <c r="J323" s="12"/>
      <c r="K323" s="14"/>
      <c r="L323" s="5" t="s">
        <v>179</v>
      </c>
      <c r="M323" s="23"/>
    </row>
    <row r="324" spans="1:13" s="70" customFormat="1" ht="90" customHeight="1">
      <c r="A324" s="501"/>
      <c r="B324" s="23" t="s">
        <v>134</v>
      </c>
      <c r="C324" s="6" t="s">
        <v>43</v>
      </c>
      <c r="D324" s="1">
        <v>2019</v>
      </c>
      <c r="E324" s="12">
        <f>F324+G324+J324+K324</f>
        <v>10.74</v>
      </c>
      <c r="F324" s="12"/>
      <c r="G324" s="12">
        <f t="shared" si="58"/>
        <v>10.74</v>
      </c>
      <c r="H324" s="12"/>
      <c r="I324" s="12">
        <v>10.74</v>
      </c>
      <c r="J324" s="12">
        <v>0</v>
      </c>
      <c r="K324" s="14">
        <v>0</v>
      </c>
      <c r="L324" s="5" t="s">
        <v>46</v>
      </c>
      <c r="M324" s="23" t="s">
        <v>123</v>
      </c>
    </row>
    <row r="325" spans="1:13" s="70" customFormat="1" ht="55.5" customHeight="1">
      <c r="A325" s="74" t="s">
        <v>119</v>
      </c>
      <c r="B325" s="23" t="s">
        <v>120</v>
      </c>
      <c r="C325" s="6" t="s">
        <v>43</v>
      </c>
      <c r="D325" s="1">
        <v>2019</v>
      </c>
      <c r="E325" s="12">
        <f t="shared" si="57"/>
        <v>142.281</v>
      </c>
      <c r="F325" s="12"/>
      <c r="G325" s="12">
        <f t="shared" si="58"/>
        <v>133.86</v>
      </c>
      <c r="H325" s="12"/>
      <c r="I325" s="12">
        <v>133.86</v>
      </c>
      <c r="J325" s="12">
        <v>8.421</v>
      </c>
      <c r="K325" s="14">
        <v>0</v>
      </c>
      <c r="L325" s="5" t="s">
        <v>46</v>
      </c>
      <c r="M325" s="23" t="s">
        <v>124</v>
      </c>
    </row>
    <row r="326" spans="1:13" s="81" customFormat="1" ht="89.25" customHeight="1">
      <c r="A326" s="83" t="s">
        <v>161</v>
      </c>
      <c r="B326" s="578" t="s">
        <v>158</v>
      </c>
      <c r="C326" s="579"/>
      <c r="D326" s="4">
        <v>2019</v>
      </c>
      <c r="E326" s="13">
        <f aca="true" t="shared" si="59" ref="E326:K326">E327+E328</f>
        <v>1013.9999999999999</v>
      </c>
      <c r="F326" s="13">
        <f t="shared" si="59"/>
        <v>0</v>
      </c>
      <c r="G326" s="13">
        <f t="shared" si="59"/>
        <v>963</v>
      </c>
      <c r="H326" s="13">
        <f t="shared" si="59"/>
        <v>0</v>
      </c>
      <c r="I326" s="13">
        <f t="shared" si="59"/>
        <v>963</v>
      </c>
      <c r="J326" s="13">
        <f t="shared" si="59"/>
        <v>51</v>
      </c>
      <c r="K326" s="13">
        <f t="shared" si="59"/>
        <v>0</v>
      </c>
      <c r="L326" s="54"/>
      <c r="M326" s="92"/>
    </row>
    <row r="327" spans="1:13" s="70" customFormat="1" ht="71.25" customHeight="1">
      <c r="A327" s="74" t="s">
        <v>162</v>
      </c>
      <c r="B327" s="580" t="s">
        <v>158</v>
      </c>
      <c r="C327" s="580"/>
      <c r="D327" s="93">
        <v>2019</v>
      </c>
      <c r="E327" s="26">
        <f>F327+G327+J327+K327</f>
        <v>800.0321799999999</v>
      </c>
      <c r="F327" s="84"/>
      <c r="G327" s="26">
        <f>H327+I327</f>
        <v>760.03</v>
      </c>
      <c r="H327" s="85"/>
      <c r="I327" s="191">
        <f>765.502-5.472</f>
        <v>760.03</v>
      </c>
      <c r="J327" s="192">
        <f>40.2898-0.28762</f>
        <v>40.00218</v>
      </c>
      <c r="K327" s="86"/>
      <c r="L327" s="87" t="s">
        <v>47</v>
      </c>
      <c r="M327" s="581" t="s">
        <v>159</v>
      </c>
    </row>
    <row r="328" spans="1:13" s="70" customFormat="1" ht="74.25" customHeight="1">
      <c r="A328" s="94" t="s">
        <v>163</v>
      </c>
      <c r="B328" s="438" t="s">
        <v>158</v>
      </c>
      <c r="C328" s="481"/>
      <c r="D328" s="93">
        <v>2019</v>
      </c>
      <c r="E328" s="68">
        <f>F328+G328+J328+K328</f>
        <v>213.96782</v>
      </c>
      <c r="F328" s="88"/>
      <c r="G328" s="68">
        <f>H328+I328</f>
        <v>202.97</v>
      </c>
      <c r="H328" s="89"/>
      <c r="I328" s="193">
        <f>197.498+5.472</f>
        <v>202.97</v>
      </c>
      <c r="J328" s="194">
        <f>10.7102+0.28762</f>
        <v>10.99782</v>
      </c>
      <c r="K328" s="90"/>
      <c r="L328" s="91" t="s">
        <v>169</v>
      </c>
      <c r="M328" s="572"/>
    </row>
    <row r="329" spans="1:13" s="70" customFormat="1" ht="24.75" customHeight="1">
      <c r="A329" s="592" t="s">
        <v>164</v>
      </c>
      <c r="B329" s="594" t="s">
        <v>199</v>
      </c>
      <c r="C329" s="595"/>
      <c r="D329" s="112">
        <v>2020</v>
      </c>
      <c r="E329" s="174">
        <f aca="true" t="shared" si="60" ref="E329:K329">E332+E333+E334+++++E336+E342+E343+E344+E345</f>
        <v>0</v>
      </c>
      <c r="F329" s="174">
        <f t="shared" si="60"/>
        <v>0</v>
      </c>
      <c r="G329" s="174">
        <f t="shared" si="60"/>
        <v>0</v>
      </c>
      <c r="H329" s="174">
        <f t="shared" si="60"/>
        <v>0</v>
      </c>
      <c r="I329" s="174">
        <f t="shared" si="60"/>
        <v>0</v>
      </c>
      <c r="J329" s="174">
        <f t="shared" si="60"/>
        <v>0</v>
      </c>
      <c r="K329" s="174">
        <f t="shared" si="60"/>
        <v>0</v>
      </c>
      <c r="L329" s="91"/>
      <c r="M329" s="110">
        <v>1377</v>
      </c>
    </row>
    <row r="330" spans="1:13" s="70" customFormat="1" ht="24.75" customHeight="1">
      <c r="A330" s="593"/>
      <c r="B330" s="596"/>
      <c r="C330" s="597"/>
      <c r="D330" s="112">
        <v>2021</v>
      </c>
      <c r="E330" s="174">
        <f aca="true" t="shared" si="61" ref="E330:K330">E335+E337+E338+E339+E340+E341</f>
        <v>0</v>
      </c>
      <c r="F330" s="174">
        <f t="shared" si="61"/>
        <v>0</v>
      </c>
      <c r="G330" s="174">
        <f t="shared" si="61"/>
        <v>0</v>
      </c>
      <c r="H330" s="174">
        <f t="shared" si="61"/>
        <v>0</v>
      </c>
      <c r="I330" s="174">
        <f t="shared" si="61"/>
        <v>0</v>
      </c>
      <c r="J330" s="174">
        <f t="shared" si="61"/>
        <v>0</v>
      </c>
      <c r="K330" s="174">
        <f t="shared" si="61"/>
        <v>0</v>
      </c>
      <c r="L330" s="91"/>
      <c r="M330" s="110">
        <v>1630</v>
      </c>
    </row>
    <row r="331" spans="1:13" s="70" customFormat="1" ht="24.75" customHeight="1" thickBot="1">
      <c r="A331" s="593"/>
      <c r="B331" s="596"/>
      <c r="C331" s="597"/>
      <c r="D331" s="112">
        <v>2022</v>
      </c>
      <c r="E331" s="174">
        <v>0</v>
      </c>
      <c r="F331" s="174">
        <v>0</v>
      </c>
      <c r="G331" s="174">
        <v>0</v>
      </c>
      <c r="H331" s="174">
        <v>0</v>
      </c>
      <c r="I331" s="174">
        <v>0</v>
      </c>
      <c r="J331" s="174">
        <v>0</v>
      </c>
      <c r="K331" s="174">
        <v>0</v>
      </c>
      <c r="L331" s="91"/>
      <c r="M331" s="110"/>
    </row>
    <row r="332" spans="1:13" s="70" customFormat="1" ht="24.75" customHeight="1">
      <c r="A332" s="598" t="s">
        <v>193</v>
      </c>
      <c r="B332" s="455" t="s">
        <v>180</v>
      </c>
      <c r="C332" s="165" t="s">
        <v>181</v>
      </c>
      <c r="D332" s="176">
        <v>2020</v>
      </c>
      <c r="E332" s="177"/>
      <c r="F332" s="177"/>
      <c r="G332" s="177"/>
      <c r="H332" s="177"/>
      <c r="I332" s="177"/>
      <c r="J332" s="177">
        <v>0</v>
      </c>
      <c r="K332" s="178"/>
      <c r="L332" s="179" t="s">
        <v>181</v>
      </c>
      <c r="M332" s="60"/>
    </row>
    <row r="333" spans="1:13" s="70" customFormat="1" ht="24.75" customHeight="1">
      <c r="A333" s="599"/>
      <c r="B333" s="424"/>
      <c r="C333" s="6" t="s">
        <v>182</v>
      </c>
      <c r="D333" s="1">
        <v>2020</v>
      </c>
      <c r="E333" s="12"/>
      <c r="F333" s="12"/>
      <c r="G333" s="12"/>
      <c r="H333" s="12"/>
      <c r="I333" s="12"/>
      <c r="J333" s="12">
        <v>0</v>
      </c>
      <c r="K333" s="14"/>
      <c r="L333" s="5" t="s">
        <v>182</v>
      </c>
      <c r="M333" s="61"/>
    </row>
    <row r="334" spans="1:13" s="70" customFormat="1" ht="24.75" customHeight="1">
      <c r="A334" s="599"/>
      <c r="B334" s="424"/>
      <c r="C334" s="6" t="s">
        <v>183</v>
      </c>
      <c r="D334" s="1">
        <v>2020</v>
      </c>
      <c r="E334" s="12"/>
      <c r="F334" s="12"/>
      <c r="G334" s="12"/>
      <c r="H334" s="12"/>
      <c r="I334" s="12"/>
      <c r="J334" s="12">
        <v>0</v>
      </c>
      <c r="K334" s="14"/>
      <c r="L334" s="5" t="s">
        <v>183</v>
      </c>
      <c r="M334" s="61"/>
    </row>
    <row r="335" spans="1:13" s="70" customFormat="1" ht="24.75" customHeight="1" thickBot="1">
      <c r="A335" s="600"/>
      <c r="B335" s="601"/>
      <c r="C335" s="180" t="s">
        <v>187</v>
      </c>
      <c r="D335" s="181">
        <v>2021</v>
      </c>
      <c r="E335" s="182"/>
      <c r="F335" s="182"/>
      <c r="G335" s="182"/>
      <c r="H335" s="182"/>
      <c r="I335" s="182"/>
      <c r="J335" s="182">
        <v>0</v>
      </c>
      <c r="K335" s="183"/>
      <c r="L335" s="184" t="s">
        <v>187</v>
      </c>
      <c r="M335" s="64"/>
    </row>
    <row r="336" spans="1:13" s="70" customFormat="1" ht="24.75" customHeight="1">
      <c r="A336" s="602" t="s">
        <v>194</v>
      </c>
      <c r="B336" s="455" t="s">
        <v>184</v>
      </c>
      <c r="C336" s="165" t="s">
        <v>183</v>
      </c>
      <c r="D336" s="176">
        <v>2020</v>
      </c>
      <c r="E336" s="177"/>
      <c r="F336" s="177"/>
      <c r="G336" s="177"/>
      <c r="H336" s="177"/>
      <c r="I336" s="177"/>
      <c r="J336" s="177">
        <v>0</v>
      </c>
      <c r="K336" s="178"/>
      <c r="L336" s="179" t="s">
        <v>183</v>
      </c>
      <c r="M336" s="60"/>
    </row>
    <row r="337" spans="1:13" s="70" customFormat="1" ht="24.75" customHeight="1">
      <c r="A337" s="603"/>
      <c r="B337" s="424"/>
      <c r="C337" s="6" t="s">
        <v>190</v>
      </c>
      <c r="D337" s="1">
        <v>2021</v>
      </c>
      <c r="E337" s="12"/>
      <c r="F337" s="12"/>
      <c r="G337" s="12"/>
      <c r="H337" s="12"/>
      <c r="I337" s="12"/>
      <c r="J337" s="12">
        <v>0</v>
      </c>
      <c r="K337" s="14"/>
      <c r="L337" s="5" t="s">
        <v>190</v>
      </c>
      <c r="M337" s="61"/>
    </row>
    <row r="338" spans="1:13" s="70" customFormat="1" ht="24.75" customHeight="1">
      <c r="A338" s="603"/>
      <c r="B338" s="424"/>
      <c r="C338" s="6" t="s">
        <v>44</v>
      </c>
      <c r="D338" s="1">
        <v>2021</v>
      </c>
      <c r="E338" s="12"/>
      <c r="F338" s="12"/>
      <c r="G338" s="12"/>
      <c r="H338" s="12"/>
      <c r="I338" s="12"/>
      <c r="J338" s="12">
        <v>0</v>
      </c>
      <c r="K338" s="14"/>
      <c r="L338" s="5" t="s">
        <v>191</v>
      </c>
      <c r="M338" s="61"/>
    </row>
    <row r="339" spans="1:13" s="70" customFormat="1" ht="24.75" customHeight="1">
      <c r="A339" s="603"/>
      <c r="B339" s="424"/>
      <c r="C339" s="6" t="s">
        <v>151</v>
      </c>
      <c r="D339" s="1">
        <v>2021</v>
      </c>
      <c r="E339" s="12"/>
      <c r="F339" s="12"/>
      <c r="G339" s="12"/>
      <c r="H339" s="12"/>
      <c r="I339" s="12"/>
      <c r="J339" s="12">
        <v>0</v>
      </c>
      <c r="K339" s="14"/>
      <c r="L339" s="5" t="s">
        <v>151</v>
      </c>
      <c r="M339" s="61"/>
    </row>
    <row r="340" spans="1:13" s="70" customFormat="1" ht="24.75" customHeight="1">
      <c r="A340" s="603"/>
      <c r="B340" s="424"/>
      <c r="C340" s="6" t="s">
        <v>150</v>
      </c>
      <c r="D340" s="1">
        <v>2021</v>
      </c>
      <c r="E340" s="12"/>
      <c r="F340" s="12"/>
      <c r="G340" s="12"/>
      <c r="H340" s="12"/>
      <c r="I340" s="12"/>
      <c r="J340" s="12">
        <v>0</v>
      </c>
      <c r="K340" s="14"/>
      <c r="L340" s="5" t="s">
        <v>150</v>
      </c>
      <c r="M340" s="61"/>
    </row>
    <row r="341" spans="1:13" s="70" customFormat="1" ht="24.75" customHeight="1" thickBot="1">
      <c r="A341" s="604"/>
      <c r="B341" s="601"/>
      <c r="C341" s="180" t="s">
        <v>187</v>
      </c>
      <c r="D341" s="181">
        <v>2021</v>
      </c>
      <c r="E341" s="182"/>
      <c r="F341" s="182"/>
      <c r="G341" s="182"/>
      <c r="H341" s="182"/>
      <c r="I341" s="182"/>
      <c r="J341" s="182">
        <v>0</v>
      </c>
      <c r="K341" s="183"/>
      <c r="L341" s="184" t="s">
        <v>187</v>
      </c>
      <c r="M341" s="64"/>
    </row>
    <row r="342" spans="1:13" s="70" customFormat="1" ht="39.75" customHeight="1">
      <c r="A342" s="175" t="s">
        <v>195</v>
      </c>
      <c r="B342" s="168" t="s">
        <v>189</v>
      </c>
      <c r="C342" s="109" t="s">
        <v>150</v>
      </c>
      <c r="D342" s="185">
        <v>2020</v>
      </c>
      <c r="E342" s="131"/>
      <c r="F342" s="131"/>
      <c r="G342" s="131"/>
      <c r="H342" s="131"/>
      <c r="I342" s="131"/>
      <c r="J342" s="131">
        <v>0</v>
      </c>
      <c r="K342" s="133"/>
      <c r="L342" s="186" t="s">
        <v>150</v>
      </c>
      <c r="M342" s="72"/>
    </row>
    <row r="343" spans="1:13" s="70" customFormat="1" ht="36" customHeight="1">
      <c r="A343" s="94" t="s">
        <v>196</v>
      </c>
      <c r="B343" s="169" t="s">
        <v>185</v>
      </c>
      <c r="C343" s="6" t="s">
        <v>150</v>
      </c>
      <c r="D343" s="1">
        <v>2020</v>
      </c>
      <c r="E343" s="12"/>
      <c r="F343" s="12"/>
      <c r="G343" s="12"/>
      <c r="H343" s="12"/>
      <c r="I343" s="12"/>
      <c r="J343" s="12">
        <v>0</v>
      </c>
      <c r="K343" s="14"/>
      <c r="L343" s="5" t="s">
        <v>150</v>
      </c>
      <c r="M343" s="23"/>
    </row>
    <row r="344" spans="1:13" s="70" customFormat="1" ht="37.5" customHeight="1">
      <c r="A344" s="187" t="s">
        <v>197</v>
      </c>
      <c r="B344" s="169" t="s">
        <v>186</v>
      </c>
      <c r="C344" s="6" t="s">
        <v>187</v>
      </c>
      <c r="D344" s="1">
        <v>2020</v>
      </c>
      <c r="E344" s="12"/>
      <c r="F344" s="12"/>
      <c r="G344" s="12"/>
      <c r="H344" s="12"/>
      <c r="I344" s="12"/>
      <c r="J344" s="12">
        <v>0</v>
      </c>
      <c r="K344" s="14"/>
      <c r="L344" s="5" t="s">
        <v>187</v>
      </c>
      <c r="M344" s="23"/>
    </row>
    <row r="345" spans="1:13" s="70" customFormat="1" ht="41.25" customHeight="1">
      <c r="A345" s="187" t="s">
        <v>198</v>
      </c>
      <c r="B345" s="169" t="s">
        <v>188</v>
      </c>
      <c r="C345" s="6" t="s">
        <v>187</v>
      </c>
      <c r="D345" s="1">
        <v>2020</v>
      </c>
      <c r="E345" s="12"/>
      <c r="F345" s="12"/>
      <c r="G345" s="12"/>
      <c r="H345" s="12"/>
      <c r="I345" s="12"/>
      <c r="J345" s="12">
        <v>0</v>
      </c>
      <c r="K345" s="14"/>
      <c r="L345" s="5" t="s">
        <v>187</v>
      </c>
      <c r="M345" s="23"/>
    </row>
    <row r="346" spans="1:13" s="81" customFormat="1" ht="41.25" customHeight="1">
      <c r="A346" s="662" t="s">
        <v>257</v>
      </c>
      <c r="B346" s="576" t="s">
        <v>259</v>
      </c>
      <c r="C346" s="577"/>
      <c r="D346" s="4">
        <v>2020</v>
      </c>
      <c r="E346" s="13">
        <f>F346+G346+J346+K346</f>
        <v>1762</v>
      </c>
      <c r="F346" s="13"/>
      <c r="G346" s="13">
        <f>H346+I346</f>
        <v>1533</v>
      </c>
      <c r="H346" s="13"/>
      <c r="I346" s="13">
        <f>I347+I348+I349</f>
        <v>1533</v>
      </c>
      <c r="J346" s="13">
        <f>J347+J348+J349</f>
        <v>229</v>
      </c>
      <c r="K346" s="13">
        <f>K347+K348+K349</f>
        <v>0</v>
      </c>
      <c r="L346" s="54"/>
      <c r="M346" s="248"/>
    </row>
    <row r="347" spans="1:13" s="70" customFormat="1" ht="60" customHeight="1">
      <c r="A347" s="663"/>
      <c r="B347" s="665" t="s">
        <v>260</v>
      </c>
      <c r="C347" s="666"/>
      <c r="D347" s="1">
        <v>2020</v>
      </c>
      <c r="E347" s="12">
        <f>F347+G347+J347+K347</f>
        <v>300</v>
      </c>
      <c r="F347" s="12"/>
      <c r="G347" s="12">
        <f>H347+I347</f>
        <v>261</v>
      </c>
      <c r="H347" s="12"/>
      <c r="I347" s="12">
        <v>261</v>
      </c>
      <c r="J347" s="12">
        <v>39</v>
      </c>
      <c r="K347" s="14">
        <v>0</v>
      </c>
      <c r="L347" s="5" t="s">
        <v>258</v>
      </c>
      <c r="M347" s="247"/>
    </row>
    <row r="348" spans="1:13" s="70" customFormat="1" ht="55.5" customHeight="1">
      <c r="A348" s="663"/>
      <c r="B348" s="665" t="s">
        <v>261</v>
      </c>
      <c r="C348" s="666"/>
      <c r="D348" s="1">
        <v>2020</v>
      </c>
      <c r="E348" s="12">
        <f>F348+G348+J348+K348</f>
        <v>657.4</v>
      </c>
      <c r="F348" s="12"/>
      <c r="G348" s="12">
        <f>H348+I348</f>
        <v>572</v>
      </c>
      <c r="H348" s="12"/>
      <c r="I348" s="12">
        <v>572</v>
      </c>
      <c r="J348" s="12">
        <v>85.4</v>
      </c>
      <c r="K348" s="14">
        <v>0</v>
      </c>
      <c r="L348" s="5" t="s">
        <v>106</v>
      </c>
      <c r="M348" s="247"/>
    </row>
    <row r="349" spans="1:13" s="70" customFormat="1" ht="55.5" customHeight="1">
      <c r="A349" s="664"/>
      <c r="B349" s="665" t="s">
        <v>261</v>
      </c>
      <c r="C349" s="666"/>
      <c r="D349" s="1">
        <v>2020</v>
      </c>
      <c r="E349" s="12">
        <f>F349+G349+J349+K349</f>
        <v>804.6</v>
      </c>
      <c r="F349" s="12"/>
      <c r="G349" s="12">
        <f>H349+I349</f>
        <v>700</v>
      </c>
      <c r="H349" s="12"/>
      <c r="I349" s="12">
        <v>700</v>
      </c>
      <c r="J349" s="12">
        <v>104.6</v>
      </c>
      <c r="K349" s="14">
        <v>0</v>
      </c>
      <c r="L349" s="5" t="s">
        <v>46</v>
      </c>
      <c r="M349" s="247"/>
    </row>
    <row r="350" spans="1:13" s="81" customFormat="1" ht="24.75" customHeight="1">
      <c r="A350" s="95"/>
      <c r="B350" s="674"/>
      <c r="C350" s="674"/>
      <c r="D350" s="4"/>
      <c r="E350" s="24"/>
      <c r="F350" s="24"/>
      <c r="G350" s="24"/>
      <c r="H350" s="24"/>
      <c r="I350" s="24"/>
      <c r="J350" s="24"/>
      <c r="K350" s="100"/>
      <c r="L350" s="101"/>
      <c r="M350" s="96"/>
    </row>
    <row r="351" spans="1:13" s="81" customFormat="1" ht="24.75" customHeight="1" thickBot="1">
      <c r="A351" s="95"/>
      <c r="B351" s="104"/>
      <c r="C351" s="105"/>
      <c r="D351" s="112"/>
      <c r="E351" s="97"/>
      <c r="F351" s="97"/>
      <c r="G351" s="97"/>
      <c r="H351" s="97"/>
      <c r="I351" s="97"/>
      <c r="J351" s="97"/>
      <c r="K351" s="367"/>
      <c r="L351" s="368"/>
      <c r="M351" s="96"/>
    </row>
    <row r="352" spans="1:13" s="70" customFormat="1" ht="24.75" customHeight="1">
      <c r="A352" s="675"/>
      <c r="B352" s="656" t="s">
        <v>36</v>
      </c>
      <c r="C352" s="657"/>
      <c r="D352" s="59">
        <v>2017</v>
      </c>
      <c r="E352" s="369">
        <f>F352+G352+J352+K352</f>
        <v>26434.284</v>
      </c>
      <c r="F352" s="370">
        <f>G352+H352</f>
        <v>0</v>
      </c>
      <c r="G352" s="370">
        <f>H352+I352</f>
        <v>0</v>
      </c>
      <c r="H352" s="371">
        <f>H238+H239</f>
        <v>0</v>
      </c>
      <c r="I352" s="371">
        <f>I238+I239</f>
        <v>0</v>
      </c>
      <c r="J352" s="369">
        <f>J238+J239</f>
        <v>26434.284</v>
      </c>
      <c r="K352" s="369">
        <v>0</v>
      </c>
      <c r="L352" s="372"/>
      <c r="M352" s="250"/>
    </row>
    <row r="353" spans="1:13" s="70" customFormat="1" ht="24.75" customHeight="1">
      <c r="A353" s="676"/>
      <c r="B353" s="658"/>
      <c r="C353" s="659"/>
      <c r="D353" s="7">
        <v>2018</v>
      </c>
      <c r="E353" s="45">
        <f>F353+G353+J353+K353</f>
        <v>29674.233</v>
      </c>
      <c r="F353" s="159">
        <f>G353+H353</f>
        <v>0</v>
      </c>
      <c r="G353" s="159">
        <f>H353+I353</f>
        <v>0</v>
      </c>
      <c r="H353" s="160">
        <f>H240</f>
        <v>0</v>
      </c>
      <c r="I353" s="160">
        <f>I240</f>
        <v>0</v>
      </c>
      <c r="J353" s="45">
        <f>J240+J297</f>
        <v>29674.233</v>
      </c>
      <c r="K353" s="160">
        <v>0</v>
      </c>
      <c r="L353" s="373"/>
      <c r="M353" s="250"/>
    </row>
    <row r="354" spans="1:13" s="70" customFormat="1" ht="24.75" customHeight="1">
      <c r="A354" s="676"/>
      <c r="B354" s="658"/>
      <c r="C354" s="659"/>
      <c r="D354" s="7">
        <v>2019</v>
      </c>
      <c r="E354" s="45">
        <f aca="true" t="shared" si="62" ref="E354:K354">E256+E305+E314+E285+E326</f>
        <v>27583.2734</v>
      </c>
      <c r="F354" s="45">
        <f t="shared" si="62"/>
        <v>0</v>
      </c>
      <c r="G354" s="45">
        <f t="shared" si="62"/>
        <v>1436</v>
      </c>
      <c r="H354" s="45">
        <f t="shared" si="62"/>
        <v>0</v>
      </c>
      <c r="I354" s="45">
        <f t="shared" si="62"/>
        <v>1436</v>
      </c>
      <c r="J354" s="45">
        <f t="shared" si="62"/>
        <v>26147.2734</v>
      </c>
      <c r="K354" s="45">
        <f t="shared" si="62"/>
        <v>0</v>
      </c>
      <c r="L354" s="373"/>
      <c r="M354" s="250"/>
    </row>
    <row r="355" spans="1:13" s="70" customFormat="1" ht="24.75" customHeight="1">
      <c r="A355" s="676"/>
      <c r="B355" s="658"/>
      <c r="C355" s="659"/>
      <c r="D355" s="7">
        <v>2020</v>
      </c>
      <c r="E355" s="45">
        <f aca="true" t="shared" si="63" ref="E355:J355">E271+E287+E308+E315+E329+E346</f>
        <v>18156.53028</v>
      </c>
      <c r="F355" s="45">
        <f t="shared" si="63"/>
        <v>0</v>
      </c>
      <c r="G355" s="45">
        <f t="shared" si="63"/>
        <v>1533</v>
      </c>
      <c r="H355" s="45">
        <f t="shared" si="63"/>
        <v>0</v>
      </c>
      <c r="I355" s="45">
        <f t="shared" si="63"/>
        <v>1533</v>
      </c>
      <c r="J355" s="45">
        <f t="shared" si="63"/>
        <v>16623.53028</v>
      </c>
      <c r="K355" s="45">
        <f>K271+K287+K308+K315+K329</f>
        <v>0</v>
      </c>
      <c r="L355" s="373"/>
      <c r="M355" s="250"/>
    </row>
    <row r="356" spans="1:13" s="70" customFormat="1" ht="24.75" customHeight="1">
      <c r="A356" s="676"/>
      <c r="B356" s="658"/>
      <c r="C356" s="659"/>
      <c r="D356" s="7">
        <v>2021</v>
      </c>
      <c r="E356" s="45">
        <f aca="true" t="shared" si="64" ref="E356:K356">E281+E288+E312+E316+E330</f>
        <v>22888.568</v>
      </c>
      <c r="F356" s="45">
        <f t="shared" si="64"/>
        <v>0</v>
      </c>
      <c r="G356" s="45">
        <f t="shared" si="64"/>
        <v>0</v>
      </c>
      <c r="H356" s="45">
        <f t="shared" si="64"/>
        <v>0</v>
      </c>
      <c r="I356" s="45">
        <f t="shared" si="64"/>
        <v>0</v>
      </c>
      <c r="J356" s="45">
        <f t="shared" si="64"/>
        <v>22888.568</v>
      </c>
      <c r="K356" s="45">
        <f t="shared" si="64"/>
        <v>0</v>
      </c>
      <c r="L356" s="373"/>
      <c r="M356" s="250"/>
    </row>
    <row r="357" spans="1:13" s="70" customFormat="1" ht="24.75" customHeight="1">
      <c r="A357" s="676"/>
      <c r="B357" s="658"/>
      <c r="C357" s="659"/>
      <c r="D357" s="7">
        <v>2022</v>
      </c>
      <c r="E357" s="45">
        <f aca="true" t="shared" si="65" ref="E357:K357">E283+E313+E317+E331</f>
        <v>20972.961</v>
      </c>
      <c r="F357" s="45">
        <f t="shared" si="65"/>
        <v>0</v>
      </c>
      <c r="G357" s="45">
        <f t="shared" si="65"/>
        <v>0</v>
      </c>
      <c r="H357" s="45">
        <f t="shared" si="65"/>
        <v>0</v>
      </c>
      <c r="I357" s="45">
        <f t="shared" si="65"/>
        <v>0</v>
      </c>
      <c r="J357" s="45">
        <f t="shared" si="65"/>
        <v>20972.961</v>
      </c>
      <c r="K357" s="45">
        <f t="shared" si="65"/>
        <v>0</v>
      </c>
      <c r="L357" s="373"/>
      <c r="M357" s="250"/>
    </row>
    <row r="358" spans="1:13" s="70" customFormat="1" ht="24.75" customHeight="1" thickBot="1">
      <c r="A358" s="677"/>
      <c r="B358" s="660"/>
      <c r="C358" s="661"/>
      <c r="D358" s="62">
        <v>2023</v>
      </c>
      <c r="E358" s="374">
        <v>0</v>
      </c>
      <c r="F358" s="374">
        <v>0</v>
      </c>
      <c r="G358" s="374"/>
      <c r="H358" s="374">
        <v>0</v>
      </c>
      <c r="I358" s="374">
        <v>0</v>
      </c>
      <c r="J358" s="374">
        <v>0</v>
      </c>
      <c r="K358" s="374">
        <v>0</v>
      </c>
      <c r="L358" s="375"/>
      <c r="M358" s="250"/>
    </row>
    <row r="359" spans="1:13" s="70" customFormat="1" ht="27" customHeight="1">
      <c r="A359" s="628" t="s">
        <v>100</v>
      </c>
      <c r="B359" s="554"/>
      <c r="C359" s="554"/>
      <c r="D359" s="554"/>
      <c r="E359" s="554"/>
      <c r="F359" s="554"/>
      <c r="G359" s="554"/>
      <c r="H359" s="554"/>
      <c r="I359" s="554"/>
      <c r="J359" s="554"/>
      <c r="K359" s="554"/>
      <c r="L359" s="554"/>
      <c r="M359" s="555"/>
    </row>
    <row r="360" spans="1:13" s="70" customFormat="1" ht="29.25" customHeight="1">
      <c r="A360" s="589" t="s">
        <v>56</v>
      </c>
      <c r="B360" s="590"/>
      <c r="C360" s="590"/>
      <c r="D360" s="590"/>
      <c r="E360" s="590"/>
      <c r="F360" s="590"/>
      <c r="G360" s="590"/>
      <c r="H360" s="590"/>
      <c r="I360" s="590"/>
      <c r="J360" s="590"/>
      <c r="K360" s="590"/>
      <c r="L360" s="629"/>
      <c r="M360" s="630"/>
    </row>
    <row r="361" spans="1:13" s="70" customFormat="1" ht="27" customHeight="1">
      <c r="A361" s="589" t="s">
        <v>136</v>
      </c>
      <c r="B361" s="590"/>
      <c r="C361" s="590"/>
      <c r="D361" s="590"/>
      <c r="E361" s="590"/>
      <c r="F361" s="590"/>
      <c r="G361" s="590"/>
      <c r="H361" s="590"/>
      <c r="I361" s="590"/>
      <c r="J361" s="590"/>
      <c r="K361" s="591"/>
      <c r="L361" s="8"/>
      <c r="M361" s="23"/>
    </row>
    <row r="362" spans="1:13" s="70" customFormat="1" ht="49.5" customHeight="1">
      <c r="A362" s="501" t="s">
        <v>85</v>
      </c>
      <c r="B362" s="631" t="s">
        <v>137</v>
      </c>
      <c r="C362" s="632"/>
      <c r="D362" s="4">
        <v>2017</v>
      </c>
      <c r="E362" s="46">
        <f aca="true" t="shared" si="66" ref="E362:E371">F362+G362+J362+K362</f>
        <v>200580.416</v>
      </c>
      <c r="F362" s="46">
        <f>F363+F364+F365+F367+F368+F369+F370</f>
        <v>124615.2</v>
      </c>
      <c r="G362" s="24">
        <f>H362+I362</f>
        <v>727</v>
      </c>
      <c r="H362" s="24">
        <f>H363+H364+H365+H367+H368+H369+H370</f>
        <v>0</v>
      </c>
      <c r="I362" s="24">
        <f>I363+I364+I365+I367+I368+I369+I370</f>
        <v>727</v>
      </c>
      <c r="J362" s="24">
        <f>J363+J364+J365+J367+J368+J369+J370</f>
        <v>75238.216</v>
      </c>
      <c r="K362" s="24">
        <f>K363+K364+K365+K367+K368+K369+K370</f>
        <v>0</v>
      </c>
      <c r="L362" s="8"/>
      <c r="M362" s="476" t="s">
        <v>65</v>
      </c>
    </row>
    <row r="363" spans="1:13" s="70" customFormat="1" ht="27" customHeight="1">
      <c r="A363" s="501"/>
      <c r="B363" s="633"/>
      <c r="C363" s="634"/>
      <c r="D363" s="52"/>
      <c r="E363" s="46">
        <f t="shared" si="66"/>
        <v>64776.86</v>
      </c>
      <c r="F363" s="21">
        <v>54731.8</v>
      </c>
      <c r="G363" s="26">
        <f>H363+I363</f>
        <v>0</v>
      </c>
      <c r="H363" s="21"/>
      <c r="I363" s="21"/>
      <c r="J363" s="21">
        <v>10045.06</v>
      </c>
      <c r="K363" s="22">
        <v>0</v>
      </c>
      <c r="L363" s="381" t="s">
        <v>10</v>
      </c>
      <c r="M363" s="476"/>
    </row>
    <row r="364" spans="1:13" s="70" customFormat="1" ht="27" customHeight="1">
      <c r="A364" s="501"/>
      <c r="B364" s="633"/>
      <c r="C364" s="634"/>
      <c r="D364" s="7"/>
      <c r="E364" s="46">
        <f t="shared" si="66"/>
        <v>20018.813</v>
      </c>
      <c r="F364" s="21"/>
      <c r="G364" s="26">
        <f aca="true" t="shared" si="67" ref="G364:G370">H364+I364</f>
        <v>0</v>
      </c>
      <c r="H364" s="21"/>
      <c r="I364" s="21"/>
      <c r="J364" s="21">
        <v>20018.813</v>
      </c>
      <c r="K364" s="22">
        <v>0</v>
      </c>
      <c r="L364" s="381" t="s">
        <v>29</v>
      </c>
      <c r="M364" s="476"/>
    </row>
    <row r="365" spans="1:13" s="70" customFormat="1" ht="27" customHeight="1">
      <c r="A365" s="501"/>
      <c r="B365" s="633"/>
      <c r="C365" s="634"/>
      <c r="D365" s="7"/>
      <c r="E365" s="46">
        <f t="shared" si="66"/>
        <v>13226.366</v>
      </c>
      <c r="F365" s="21"/>
      <c r="G365" s="26">
        <f t="shared" si="67"/>
        <v>0</v>
      </c>
      <c r="H365" s="21"/>
      <c r="I365" s="21"/>
      <c r="J365" s="21">
        <v>13226.366</v>
      </c>
      <c r="K365" s="22">
        <v>0</v>
      </c>
      <c r="L365" s="381" t="s">
        <v>30</v>
      </c>
      <c r="M365" s="476"/>
    </row>
    <row r="366" spans="1:13" s="70" customFormat="1" ht="27" customHeight="1">
      <c r="A366" s="501"/>
      <c r="B366" s="633"/>
      <c r="C366" s="634"/>
      <c r="D366" s="7"/>
      <c r="E366" s="46"/>
      <c r="F366" s="21"/>
      <c r="G366" s="26"/>
      <c r="H366" s="21"/>
      <c r="I366" s="21"/>
      <c r="J366" s="21"/>
      <c r="K366" s="22"/>
      <c r="L366" s="381"/>
      <c r="M366" s="476"/>
    </row>
    <row r="367" spans="1:13" s="70" customFormat="1" ht="27" customHeight="1">
      <c r="A367" s="501"/>
      <c r="B367" s="633"/>
      <c r="C367" s="634"/>
      <c r="D367" s="7"/>
      <c r="E367" s="46">
        <f t="shared" si="66"/>
        <v>77631.458</v>
      </c>
      <c r="F367" s="21">
        <v>69883.4</v>
      </c>
      <c r="G367" s="26">
        <f t="shared" si="67"/>
        <v>0</v>
      </c>
      <c r="H367" s="21"/>
      <c r="I367" s="21"/>
      <c r="J367" s="21">
        <v>7748.058</v>
      </c>
      <c r="K367" s="22">
        <v>0</v>
      </c>
      <c r="L367" s="381" t="s">
        <v>31</v>
      </c>
      <c r="M367" s="476"/>
    </row>
    <row r="368" spans="1:13" s="70" customFormat="1" ht="29.25" customHeight="1">
      <c r="A368" s="501"/>
      <c r="B368" s="633"/>
      <c r="C368" s="634"/>
      <c r="D368" s="7"/>
      <c r="E368" s="46">
        <f t="shared" si="66"/>
        <v>8225.922</v>
      </c>
      <c r="F368" s="9"/>
      <c r="G368" s="26">
        <f t="shared" si="67"/>
        <v>0</v>
      </c>
      <c r="H368" s="21"/>
      <c r="I368" s="21"/>
      <c r="J368" s="21">
        <v>8225.922</v>
      </c>
      <c r="K368" s="22">
        <v>0</v>
      </c>
      <c r="L368" s="381" t="s">
        <v>17</v>
      </c>
      <c r="M368" s="476"/>
    </row>
    <row r="369" spans="1:13" s="70" customFormat="1" ht="32.25" customHeight="1">
      <c r="A369" s="501"/>
      <c r="B369" s="633"/>
      <c r="C369" s="634"/>
      <c r="D369" s="7"/>
      <c r="E369" s="46">
        <f t="shared" si="66"/>
        <v>11386.085</v>
      </c>
      <c r="F369" s="9"/>
      <c r="G369" s="26">
        <f t="shared" si="67"/>
        <v>0</v>
      </c>
      <c r="H369" s="21"/>
      <c r="I369" s="21"/>
      <c r="J369" s="21">
        <v>11386.085</v>
      </c>
      <c r="K369" s="22">
        <v>0</v>
      </c>
      <c r="L369" s="381" t="s">
        <v>32</v>
      </c>
      <c r="M369" s="476"/>
    </row>
    <row r="370" spans="1:13" s="70" customFormat="1" ht="41.25" customHeight="1">
      <c r="A370" s="501"/>
      <c r="B370" s="633"/>
      <c r="C370" s="634"/>
      <c r="D370" s="7"/>
      <c r="E370" s="46">
        <f t="shared" si="66"/>
        <v>5314.912</v>
      </c>
      <c r="F370" s="9"/>
      <c r="G370" s="26">
        <f t="shared" si="67"/>
        <v>727</v>
      </c>
      <c r="H370" s="21">
        <v>0</v>
      </c>
      <c r="I370" s="21">
        <v>727</v>
      </c>
      <c r="J370" s="21">
        <f>5287.912-700</f>
        <v>4587.912</v>
      </c>
      <c r="K370" s="22">
        <v>0</v>
      </c>
      <c r="L370" s="381" t="s">
        <v>35</v>
      </c>
      <c r="M370" s="476"/>
    </row>
    <row r="371" spans="1:13" s="70" customFormat="1" ht="69" customHeight="1">
      <c r="A371" s="501"/>
      <c r="B371" s="635"/>
      <c r="C371" s="636"/>
      <c r="D371" s="7">
        <v>2017</v>
      </c>
      <c r="E371" s="46">
        <f t="shared" si="66"/>
        <v>16200</v>
      </c>
      <c r="F371" s="47"/>
      <c r="G371" s="47">
        <f>H371+I371</f>
        <v>0</v>
      </c>
      <c r="H371" s="47">
        <v>0</v>
      </c>
      <c r="I371" s="47">
        <v>0</v>
      </c>
      <c r="J371" s="47">
        <v>16200</v>
      </c>
      <c r="K371" s="47">
        <v>0</v>
      </c>
      <c r="L371" s="381" t="s">
        <v>39</v>
      </c>
      <c r="M371" s="476"/>
    </row>
    <row r="372" spans="1:13" s="70" customFormat="1" ht="27" customHeight="1" hidden="1" thickBot="1">
      <c r="A372" s="74"/>
      <c r="B372" s="48"/>
      <c r="C372" s="48"/>
      <c r="D372" s="7"/>
      <c r="E372" s="46">
        <f>F372+G372+J372+K372</f>
        <v>0</v>
      </c>
      <c r="F372" s="47"/>
      <c r="G372" s="47"/>
      <c r="H372" s="47"/>
      <c r="I372" s="47"/>
      <c r="J372" s="21"/>
      <c r="K372" s="21"/>
      <c r="L372" s="3"/>
      <c r="M372" s="476"/>
    </row>
    <row r="373" spans="1:13" s="70" customFormat="1" ht="24.75" customHeight="1">
      <c r="A373" s="671" t="s">
        <v>86</v>
      </c>
      <c r="B373" s="667" t="s">
        <v>87</v>
      </c>
      <c r="C373" s="668"/>
      <c r="D373" s="450">
        <v>2018</v>
      </c>
      <c r="E373" s="46">
        <f>F373+G373+J373+K373</f>
        <v>209116.99978</v>
      </c>
      <c r="F373" s="46">
        <f>SUM(F374:F380)</f>
        <v>137344.5</v>
      </c>
      <c r="G373" s="46">
        <f>H373+I373</f>
        <v>1006.9820000000001</v>
      </c>
      <c r="H373" s="46">
        <f>H374+H375+H376+H377+H378+H379+H380</f>
        <v>0</v>
      </c>
      <c r="I373" s="46">
        <f>SUM(I374:I380)</f>
        <v>1006.9820000000001</v>
      </c>
      <c r="J373" s="46">
        <f>J374+J375+J376+J377+J378+J379+J380</f>
        <v>70765.51778000001</v>
      </c>
      <c r="K373" s="47">
        <v>0</v>
      </c>
      <c r="L373" s="3"/>
      <c r="M373" s="476"/>
    </row>
    <row r="374" spans="1:13" s="70" customFormat="1" ht="24.75" customHeight="1">
      <c r="A374" s="672"/>
      <c r="B374" s="625"/>
      <c r="C374" s="627"/>
      <c r="D374" s="450"/>
      <c r="E374" s="46">
        <f aca="true" t="shared" si="68" ref="E374:E386">F374+G374+J374+K374</f>
        <v>23993.106</v>
      </c>
      <c r="F374" s="9">
        <f>13666.243+401.723+232.4</f>
        <v>14300.366</v>
      </c>
      <c r="G374" s="46">
        <f>H374+I374</f>
        <v>0</v>
      </c>
      <c r="H374" s="9"/>
      <c r="I374" s="53"/>
      <c r="J374" s="9">
        <f>9852.084+390.21-2100+341.676+175.77+33+1000</f>
        <v>9692.74</v>
      </c>
      <c r="K374" s="21">
        <v>0</v>
      </c>
      <c r="L374" s="381" t="s">
        <v>10</v>
      </c>
      <c r="M374" s="476"/>
    </row>
    <row r="375" spans="1:13" s="70" customFormat="1" ht="24.75" customHeight="1">
      <c r="A375" s="672"/>
      <c r="B375" s="625"/>
      <c r="C375" s="627"/>
      <c r="D375" s="450"/>
      <c r="E375" s="46">
        <f t="shared" si="68"/>
        <v>50093.08377</v>
      </c>
      <c r="F375" s="9">
        <f>29992.565+858.854</f>
        <v>30851.418999999998</v>
      </c>
      <c r="G375" s="46">
        <f aca="true" t="shared" si="69" ref="G375:G380">H375+I375</f>
        <v>0</v>
      </c>
      <c r="H375" s="9"/>
      <c r="I375" s="53"/>
      <c r="J375" s="9">
        <f>20130.966+919.02-4300+766.8+389.718+170+1165.16077</f>
        <v>19241.66477</v>
      </c>
      <c r="K375" s="21">
        <v>0</v>
      </c>
      <c r="L375" s="381" t="s">
        <v>29</v>
      </c>
      <c r="M375" s="476"/>
    </row>
    <row r="376" spans="1:13" s="70" customFormat="1" ht="24.75" customHeight="1">
      <c r="A376" s="672"/>
      <c r="B376" s="625"/>
      <c r="C376" s="627"/>
      <c r="D376" s="450"/>
      <c r="E376" s="46">
        <f t="shared" si="68"/>
        <v>28049.476</v>
      </c>
      <c r="F376" s="9">
        <f>14985.192+401.723</f>
        <v>15386.914999999999</v>
      </c>
      <c r="G376" s="46">
        <f t="shared" si="69"/>
        <v>0</v>
      </c>
      <c r="H376" s="9"/>
      <c r="I376" s="53"/>
      <c r="J376" s="9">
        <f>13529.638+429.793-2900+367.83+195.3+40+1000</f>
        <v>12662.561</v>
      </c>
      <c r="K376" s="21">
        <v>0</v>
      </c>
      <c r="L376" s="381" t="s">
        <v>30</v>
      </c>
      <c r="M376" s="476"/>
    </row>
    <row r="377" spans="1:13" s="70" customFormat="1" ht="24.75" customHeight="1">
      <c r="A377" s="672"/>
      <c r="B377" s="625"/>
      <c r="C377" s="627"/>
      <c r="D377" s="450"/>
      <c r="E377" s="46">
        <f t="shared" si="68"/>
        <v>42507.873999999996</v>
      </c>
      <c r="F377" s="9">
        <f>30680.494+2764.647+1578.681</f>
        <v>35023.82199999999</v>
      </c>
      <c r="G377" s="46">
        <f t="shared" si="69"/>
        <v>0</v>
      </c>
      <c r="H377" s="9"/>
      <c r="I377" s="53"/>
      <c r="J377" s="9">
        <f>8048.81-1700+345.242-210+1000</f>
        <v>7484.052000000001</v>
      </c>
      <c r="K377" s="21">
        <v>0</v>
      </c>
      <c r="L377" s="381" t="s">
        <v>31</v>
      </c>
      <c r="M377" s="476"/>
    </row>
    <row r="378" spans="1:13" s="70" customFormat="1" ht="24.75" customHeight="1">
      <c r="A378" s="672"/>
      <c r="B378" s="625"/>
      <c r="C378" s="627"/>
      <c r="D378" s="450"/>
      <c r="E378" s="46">
        <f t="shared" si="68"/>
        <v>50010.63799999999</v>
      </c>
      <c r="F378" s="9">
        <f>39719.506+177.753+1884.719</f>
        <v>41781.977999999996</v>
      </c>
      <c r="G378" s="46">
        <f t="shared" si="69"/>
        <v>0</v>
      </c>
      <c r="H378" s="9"/>
      <c r="I378" s="53"/>
      <c r="J378" s="9">
        <f>8631.55-1800+397.11+1000</f>
        <v>8228.66</v>
      </c>
      <c r="K378" s="21">
        <v>0</v>
      </c>
      <c r="L378" s="381" t="s">
        <v>17</v>
      </c>
      <c r="M378" s="476"/>
    </row>
    <row r="379" spans="1:13" s="70" customFormat="1" ht="24.75" customHeight="1">
      <c r="A379" s="672"/>
      <c r="B379" s="625"/>
      <c r="C379" s="627"/>
      <c r="D379" s="450"/>
      <c r="E379" s="46">
        <f t="shared" si="68"/>
        <v>9699.46648</v>
      </c>
      <c r="F379" s="46"/>
      <c r="G379" s="46">
        <f t="shared" si="69"/>
        <v>1006.9820000000001</v>
      </c>
      <c r="H379" s="9">
        <v>0</v>
      </c>
      <c r="I379" s="9">
        <f>607.273+227.345+172.364</f>
        <v>1006.9820000000001</v>
      </c>
      <c r="J379" s="9">
        <f>10509.141+105.556-2200-617.733+133+762.52048</f>
        <v>8692.48448</v>
      </c>
      <c r="K379" s="21">
        <v>0</v>
      </c>
      <c r="L379" s="381" t="s">
        <v>32</v>
      </c>
      <c r="M379" s="476"/>
    </row>
    <row r="380" spans="1:13" s="70" customFormat="1" ht="35.25" customHeight="1">
      <c r="A380" s="672"/>
      <c r="B380" s="625"/>
      <c r="C380" s="627"/>
      <c r="D380" s="450"/>
      <c r="E380" s="46">
        <f t="shared" si="68"/>
        <v>4763.355530000001</v>
      </c>
      <c r="F380" s="46"/>
      <c r="G380" s="46">
        <f t="shared" si="69"/>
        <v>0</v>
      </c>
      <c r="H380" s="9"/>
      <c r="I380" s="9">
        <v>0</v>
      </c>
      <c r="J380" s="9">
        <f>4700.622+104.16-92.24918+50.82271</f>
        <v>4763.355530000001</v>
      </c>
      <c r="K380" s="21">
        <v>0</v>
      </c>
      <c r="L380" s="381" t="s">
        <v>54</v>
      </c>
      <c r="M380" s="476"/>
    </row>
    <row r="381" spans="1:13" s="70" customFormat="1" ht="24.75" customHeight="1">
      <c r="A381" s="672"/>
      <c r="B381" s="625"/>
      <c r="C381" s="627"/>
      <c r="D381" s="450">
        <v>2018</v>
      </c>
      <c r="E381" s="46">
        <f t="shared" si="68"/>
        <v>0</v>
      </c>
      <c r="F381" s="46">
        <f>SUM(F382:F386)</f>
        <v>0</v>
      </c>
      <c r="G381" s="46">
        <f>SUM(G382:G386)</f>
        <v>0</v>
      </c>
      <c r="H381" s="46">
        <f>SUM(H382:H386)</f>
        <v>0</v>
      </c>
      <c r="I381" s="46">
        <f>SUM(I382:I386)</f>
        <v>0</v>
      </c>
      <c r="J381" s="46">
        <f>SUM(J382:J386)</f>
        <v>0</v>
      </c>
      <c r="K381" s="47"/>
      <c r="L381" s="382"/>
      <c r="M381" s="476"/>
    </row>
    <row r="382" spans="1:13" s="70" customFormat="1" ht="24.75" customHeight="1">
      <c r="A382" s="672"/>
      <c r="B382" s="625"/>
      <c r="C382" s="627"/>
      <c r="D382" s="450"/>
      <c r="E382" s="46">
        <f t="shared" si="68"/>
        <v>0</v>
      </c>
      <c r="F382" s="20"/>
      <c r="G382" s="46">
        <f aca="true" t="shared" si="70" ref="G382:G396">H382+I382</f>
        <v>0</v>
      </c>
      <c r="H382" s="9"/>
      <c r="I382" s="9"/>
      <c r="J382" s="9">
        <v>0</v>
      </c>
      <c r="K382" s="21"/>
      <c r="L382" s="381" t="s">
        <v>10</v>
      </c>
      <c r="M382" s="476"/>
    </row>
    <row r="383" spans="1:13" s="70" customFormat="1" ht="24.75" customHeight="1">
      <c r="A383" s="672"/>
      <c r="B383" s="625"/>
      <c r="C383" s="627"/>
      <c r="D383" s="450"/>
      <c r="E383" s="46">
        <f t="shared" si="68"/>
        <v>0</v>
      </c>
      <c r="F383" s="20"/>
      <c r="G383" s="46">
        <f t="shared" si="70"/>
        <v>0</v>
      </c>
      <c r="H383" s="9"/>
      <c r="I383" s="9"/>
      <c r="J383" s="9">
        <v>0</v>
      </c>
      <c r="K383" s="21"/>
      <c r="L383" s="381" t="s">
        <v>29</v>
      </c>
      <c r="M383" s="476"/>
    </row>
    <row r="384" spans="1:13" s="70" customFormat="1" ht="24.75" customHeight="1">
      <c r="A384" s="672"/>
      <c r="B384" s="625"/>
      <c r="C384" s="627"/>
      <c r="D384" s="450"/>
      <c r="E384" s="46">
        <f t="shared" si="68"/>
        <v>0</v>
      </c>
      <c r="F384" s="20"/>
      <c r="G384" s="46">
        <f t="shared" si="70"/>
        <v>0</v>
      </c>
      <c r="H384" s="9"/>
      <c r="I384" s="9"/>
      <c r="J384" s="9">
        <v>0</v>
      </c>
      <c r="K384" s="21"/>
      <c r="L384" s="381" t="s">
        <v>30</v>
      </c>
      <c r="M384" s="476"/>
    </row>
    <row r="385" spans="1:13" s="70" customFormat="1" ht="24.75" customHeight="1">
      <c r="A385" s="672"/>
      <c r="B385" s="625"/>
      <c r="C385" s="627"/>
      <c r="D385" s="450"/>
      <c r="E385" s="46">
        <f t="shared" si="68"/>
        <v>0</v>
      </c>
      <c r="F385" s="20"/>
      <c r="G385" s="46">
        <f t="shared" si="70"/>
        <v>0</v>
      </c>
      <c r="H385" s="9"/>
      <c r="I385" s="9"/>
      <c r="J385" s="9">
        <v>0</v>
      </c>
      <c r="K385" s="21"/>
      <c r="L385" s="381" t="s">
        <v>31</v>
      </c>
      <c r="M385" s="476"/>
    </row>
    <row r="386" spans="1:13" s="70" customFormat="1" ht="24.75" customHeight="1" thickBot="1">
      <c r="A386" s="672"/>
      <c r="B386" s="625"/>
      <c r="C386" s="627"/>
      <c r="D386" s="450"/>
      <c r="E386" s="301">
        <f t="shared" si="68"/>
        <v>0</v>
      </c>
      <c r="F386" s="302"/>
      <c r="G386" s="301">
        <f t="shared" si="70"/>
        <v>0</v>
      </c>
      <c r="H386" s="303"/>
      <c r="I386" s="303"/>
      <c r="J386" s="303">
        <v>0</v>
      </c>
      <c r="K386" s="282"/>
      <c r="L386" s="383" t="s">
        <v>17</v>
      </c>
      <c r="M386" s="476"/>
    </row>
    <row r="387" spans="1:13" s="70" customFormat="1" ht="24.75" customHeight="1" thickBot="1">
      <c r="A387" s="672"/>
      <c r="B387" s="625"/>
      <c r="C387" s="627"/>
      <c r="D387" s="582">
        <v>2019</v>
      </c>
      <c r="E387" s="300">
        <f>F387+G387+J387+K387</f>
        <v>229770.53044</v>
      </c>
      <c r="F387" s="286">
        <f>SUM(F388:F396)</f>
        <v>150533.8</v>
      </c>
      <c r="G387" s="286">
        <f t="shared" si="70"/>
        <v>1276.052</v>
      </c>
      <c r="H387" s="286">
        <f>H388+H389+H390+H391+H392+H394+H396</f>
        <v>0</v>
      </c>
      <c r="I387" s="286">
        <f>I388+I389+I390+I391+I392+I394+I396</f>
        <v>1276.052</v>
      </c>
      <c r="J387" s="286">
        <f>SUM(J388:J396)</f>
        <v>77960.67844000002</v>
      </c>
      <c r="K387" s="286">
        <f>SUM(K388:K396)</f>
        <v>0</v>
      </c>
      <c r="L387" s="384"/>
      <c r="M387" s="516"/>
    </row>
    <row r="388" spans="1:13" s="70" customFormat="1" ht="24.75" customHeight="1">
      <c r="A388" s="672"/>
      <c r="B388" s="625"/>
      <c r="C388" s="627"/>
      <c r="D388" s="450"/>
      <c r="E388" s="289">
        <f aca="true" t="shared" si="71" ref="E388:E406">F388+G388+J388+K388</f>
        <v>24241.684</v>
      </c>
      <c r="F388" s="289">
        <f>13252.661+1120.6</f>
        <v>14373.261</v>
      </c>
      <c r="G388" s="289">
        <f t="shared" si="70"/>
        <v>0</v>
      </c>
      <c r="H388" s="289"/>
      <c r="I388" s="289"/>
      <c r="J388" s="289">
        <f>9770.96256+1.65244--30+65.808</f>
        <v>9868.423</v>
      </c>
      <c r="K388" s="289">
        <v>0</v>
      </c>
      <c r="L388" s="385" t="s">
        <v>10</v>
      </c>
      <c r="M388" s="476"/>
    </row>
    <row r="389" spans="1:13" s="70" customFormat="1" ht="24.75" customHeight="1">
      <c r="A389" s="672"/>
      <c r="B389" s="625"/>
      <c r="C389" s="627"/>
      <c r="D389" s="450"/>
      <c r="E389" s="21">
        <f t="shared" si="71"/>
        <v>49871.14725</v>
      </c>
      <c r="F389" s="21">
        <f>29522.977-533.6</f>
        <v>28989.377</v>
      </c>
      <c r="G389" s="21">
        <f t="shared" si="70"/>
        <v>0</v>
      </c>
      <c r="H389" s="21"/>
      <c r="I389" s="21"/>
      <c r="J389" s="21">
        <f>20596.83525-30+314.935</f>
        <v>20881.77025</v>
      </c>
      <c r="K389" s="21">
        <v>0</v>
      </c>
      <c r="L389" s="381" t="s">
        <v>29</v>
      </c>
      <c r="M389" s="476"/>
    </row>
    <row r="390" spans="1:13" s="70" customFormat="1" ht="24.75" customHeight="1">
      <c r="A390" s="672"/>
      <c r="B390" s="625"/>
      <c r="C390" s="627"/>
      <c r="D390" s="450"/>
      <c r="E390" s="21">
        <f t="shared" si="71"/>
        <v>29872.57956</v>
      </c>
      <c r="F390" s="21">
        <f>15424.362+117.4</f>
        <v>15541.761999999999</v>
      </c>
      <c r="G390" s="21">
        <f t="shared" si="70"/>
        <v>0</v>
      </c>
      <c r="H390" s="21"/>
      <c r="I390" s="21"/>
      <c r="J390" s="21">
        <f>12530.84+998.142-1.65244+803.488</f>
        <v>14330.81756</v>
      </c>
      <c r="K390" s="21">
        <v>0</v>
      </c>
      <c r="L390" s="381" t="s">
        <v>30</v>
      </c>
      <c r="M390" s="476"/>
    </row>
    <row r="391" spans="1:13" s="70" customFormat="1" ht="24.75" customHeight="1">
      <c r="A391" s="672"/>
      <c r="B391" s="625"/>
      <c r="C391" s="627"/>
      <c r="D391" s="450"/>
      <c r="E391" s="21">
        <f t="shared" si="71"/>
        <v>49171.80562000001</v>
      </c>
      <c r="F391" s="21">
        <f>39746.014+486.427+1812.116</f>
        <v>42044.55700000001</v>
      </c>
      <c r="G391" s="21">
        <f t="shared" si="70"/>
        <v>0</v>
      </c>
      <c r="H391" s="21"/>
      <c r="I391" s="21"/>
      <c r="J391" s="21">
        <f>6993.76062+133.488</f>
        <v>7127.24862</v>
      </c>
      <c r="K391" s="21">
        <v>0</v>
      </c>
      <c r="L391" s="381" t="s">
        <v>31</v>
      </c>
      <c r="M391" s="476"/>
    </row>
    <row r="392" spans="1:13" s="70" customFormat="1" ht="24.75" customHeight="1">
      <c r="A392" s="672"/>
      <c r="B392" s="625"/>
      <c r="C392" s="627"/>
      <c r="D392" s="450"/>
      <c r="E392" s="21">
        <f t="shared" si="71"/>
        <v>57432.95017</v>
      </c>
      <c r="F392" s="21">
        <f>46911.986+528.073+2144.784</f>
        <v>49584.84299999999</v>
      </c>
      <c r="G392" s="21">
        <f t="shared" si="70"/>
        <v>0</v>
      </c>
      <c r="H392" s="21"/>
      <c r="I392" s="21"/>
      <c r="J392" s="21">
        <f>7595.99717+252.11</f>
        <v>7848.107169999999</v>
      </c>
      <c r="K392" s="21">
        <v>0</v>
      </c>
      <c r="L392" s="381" t="s">
        <v>17</v>
      </c>
      <c r="M392" s="476"/>
    </row>
    <row r="393" spans="1:13" s="70" customFormat="1" ht="24.75" customHeight="1">
      <c r="A393" s="672"/>
      <c r="B393" s="625"/>
      <c r="C393" s="627"/>
      <c r="D393" s="450"/>
      <c r="E393" s="21">
        <f t="shared" si="71"/>
        <v>5966.100090000001</v>
      </c>
      <c r="F393" s="21">
        <v>0</v>
      </c>
      <c r="G393" s="21">
        <f t="shared" si="70"/>
        <v>0</v>
      </c>
      <c r="H393" s="21"/>
      <c r="I393" s="21"/>
      <c r="J393" s="21">
        <f>4712.3+667.168+264.33597+127.27612+136.43+58.59</f>
        <v>5966.100090000001</v>
      </c>
      <c r="K393" s="21">
        <v>0</v>
      </c>
      <c r="L393" s="3" t="s">
        <v>153</v>
      </c>
      <c r="M393" s="476"/>
    </row>
    <row r="394" spans="1:13" s="70" customFormat="1" ht="24.75" customHeight="1">
      <c r="A394" s="672"/>
      <c r="B394" s="625"/>
      <c r="C394" s="627"/>
      <c r="D394" s="450"/>
      <c r="E394" s="21">
        <f t="shared" si="71"/>
        <v>5395.09146</v>
      </c>
      <c r="F394" s="21">
        <v>0</v>
      </c>
      <c r="G394" s="21">
        <f t="shared" si="70"/>
        <v>0</v>
      </c>
      <c r="H394" s="21"/>
      <c r="I394" s="21"/>
      <c r="J394" s="21">
        <f>5746.63146-351.54</f>
        <v>5395.09146</v>
      </c>
      <c r="K394" s="21">
        <v>0</v>
      </c>
      <c r="L394" s="3" t="s">
        <v>152</v>
      </c>
      <c r="M394" s="476"/>
    </row>
    <row r="395" spans="1:13" s="70" customFormat="1" ht="24.75" customHeight="1">
      <c r="A395" s="672"/>
      <c r="B395" s="625"/>
      <c r="C395" s="627"/>
      <c r="D395" s="450"/>
      <c r="E395" s="21">
        <f t="shared" si="71"/>
        <v>59.5</v>
      </c>
      <c r="F395" s="21">
        <v>0</v>
      </c>
      <c r="G395" s="21">
        <f t="shared" si="70"/>
        <v>0</v>
      </c>
      <c r="H395" s="21"/>
      <c r="I395" s="21"/>
      <c r="J395" s="21">
        <v>59.5</v>
      </c>
      <c r="K395" s="21">
        <v>0</v>
      </c>
      <c r="L395" s="3" t="s">
        <v>209</v>
      </c>
      <c r="M395" s="476"/>
    </row>
    <row r="396" spans="1:13" s="70" customFormat="1" ht="43.5" customHeight="1" thickBot="1">
      <c r="A396" s="672"/>
      <c r="B396" s="625"/>
      <c r="C396" s="627"/>
      <c r="D396" s="450"/>
      <c r="E396" s="282">
        <f t="shared" si="71"/>
        <v>7759.672289999999</v>
      </c>
      <c r="F396" s="282">
        <v>0</v>
      </c>
      <c r="G396" s="282">
        <f t="shared" si="70"/>
        <v>1276.052</v>
      </c>
      <c r="H396" s="282"/>
      <c r="I396" s="282">
        <f>1139.636+136.416</f>
        <v>1276.052</v>
      </c>
      <c r="J396" s="282">
        <f>5849.69929-59.5+585.9+107.521</f>
        <v>6483.620289999999</v>
      </c>
      <c r="K396" s="282">
        <v>0</v>
      </c>
      <c r="L396" s="58" t="s">
        <v>54</v>
      </c>
      <c r="M396" s="476"/>
    </row>
    <row r="397" spans="1:13" s="70" customFormat="1" ht="27" customHeight="1" thickBot="1">
      <c r="A397" s="672"/>
      <c r="B397" s="625"/>
      <c r="C397" s="627"/>
      <c r="D397" s="582">
        <v>2020</v>
      </c>
      <c r="E397" s="300">
        <f t="shared" si="71"/>
        <v>234375.06550000003</v>
      </c>
      <c r="F397" s="286">
        <f aca="true" t="shared" si="72" ref="F397:K397">SUM(F398:F406)</f>
        <v>149607</v>
      </c>
      <c r="G397" s="286">
        <f t="shared" si="72"/>
        <v>1271</v>
      </c>
      <c r="H397" s="286">
        <f t="shared" si="72"/>
        <v>0</v>
      </c>
      <c r="I397" s="286">
        <f t="shared" si="72"/>
        <v>1271</v>
      </c>
      <c r="J397" s="286">
        <f t="shared" si="72"/>
        <v>83497.06550000001</v>
      </c>
      <c r="K397" s="286">
        <f t="shared" si="72"/>
        <v>0</v>
      </c>
      <c r="L397" s="299"/>
      <c r="M397" s="516"/>
    </row>
    <row r="398" spans="1:13" s="70" customFormat="1" ht="27" customHeight="1">
      <c r="A398" s="672"/>
      <c r="B398" s="625"/>
      <c r="C398" s="627"/>
      <c r="D398" s="450"/>
      <c r="E398" s="283">
        <f t="shared" si="71"/>
        <v>24429.962</v>
      </c>
      <c r="F398" s="289">
        <f>14700-1292.529</f>
        <v>13407.471</v>
      </c>
      <c r="G398" s="289">
        <f>H398+I398</f>
        <v>0</v>
      </c>
      <c r="H398" s="289"/>
      <c r="I398" s="289"/>
      <c r="J398" s="289">
        <f>10684.932+359.399-21.84</f>
        <v>11022.491</v>
      </c>
      <c r="K398" s="289">
        <v>0</v>
      </c>
      <c r="L398" s="279" t="s">
        <v>10</v>
      </c>
      <c r="M398" s="476"/>
    </row>
    <row r="399" spans="1:13" s="70" customFormat="1" ht="27" customHeight="1">
      <c r="A399" s="672"/>
      <c r="B399" s="625"/>
      <c r="C399" s="627"/>
      <c r="D399" s="450"/>
      <c r="E399" s="47">
        <f t="shared" si="71"/>
        <v>52880.349</v>
      </c>
      <c r="F399" s="21">
        <f>30246-286.376</f>
        <v>29959.624</v>
      </c>
      <c r="G399" s="21">
        <f aca="true" t="shared" si="73" ref="G399:G406">H399+I399</f>
        <v>0</v>
      </c>
      <c r="H399" s="21"/>
      <c r="I399" s="21"/>
      <c r="J399" s="21">
        <f>21928.883+791.842+200</f>
        <v>22920.725000000002</v>
      </c>
      <c r="K399" s="21">
        <v>0</v>
      </c>
      <c r="L399" s="3" t="s">
        <v>29</v>
      </c>
      <c r="M399" s="476"/>
    </row>
    <row r="400" spans="1:13" s="70" customFormat="1" ht="27" customHeight="1">
      <c r="A400" s="672"/>
      <c r="B400" s="625"/>
      <c r="C400" s="627"/>
      <c r="D400" s="450"/>
      <c r="E400" s="47">
        <f t="shared" si="71"/>
        <v>30302.429</v>
      </c>
      <c r="F400" s="21">
        <f>16200-1075.066</f>
        <v>15124.934</v>
      </c>
      <c r="G400" s="21">
        <f t="shared" si="73"/>
        <v>0</v>
      </c>
      <c r="H400" s="21"/>
      <c r="I400" s="21"/>
      <c r="J400" s="21">
        <f>14792.02+385.475</f>
        <v>15177.495</v>
      </c>
      <c r="K400" s="21">
        <v>0</v>
      </c>
      <c r="L400" s="3" t="s">
        <v>30</v>
      </c>
      <c r="M400" s="476"/>
    </row>
    <row r="401" spans="1:13" s="70" customFormat="1" ht="27" customHeight="1">
      <c r="A401" s="672"/>
      <c r="B401" s="625"/>
      <c r="C401" s="627"/>
      <c r="D401" s="450"/>
      <c r="E401" s="47">
        <f t="shared" si="71"/>
        <v>51126.32</v>
      </c>
      <c r="F401" s="21">
        <f>40601+2420.539</f>
        <v>43021.539</v>
      </c>
      <c r="G401" s="21">
        <f t="shared" si="73"/>
        <v>0</v>
      </c>
      <c r="H401" s="21"/>
      <c r="I401" s="21"/>
      <c r="J401" s="21">
        <f>7875.425+81.356+148</f>
        <v>8104.781</v>
      </c>
      <c r="K401" s="21">
        <v>0</v>
      </c>
      <c r="L401" s="3" t="s">
        <v>31</v>
      </c>
      <c r="M401" s="476"/>
    </row>
    <row r="402" spans="1:13" s="70" customFormat="1" ht="27" customHeight="1">
      <c r="A402" s="672"/>
      <c r="B402" s="625"/>
      <c r="C402" s="627"/>
      <c r="D402" s="450"/>
      <c r="E402" s="47">
        <f t="shared" si="71"/>
        <v>56709.962</v>
      </c>
      <c r="F402" s="21">
        <f>47860+233.432</f>
        <v>48093.432</v>
      </c>
      <c r="G402" s="21">
        <f t="shared" si="73"/>
        <v>0</v>
      </c>
      <c r="H402" s="21"/>
      <c r="I402" s="21"/>
      <c r="J402" s="21">
        <f>8506.19+110.34</f>
        <v>8616.53</v>
      </c>
      <c r="K402" s="21">
        <v>0</v>
      </c>
      <c r="L402" s="3" t="s">
        <v>17</v>
      </c>
      <c r="M402" s="476"/>
    </row>
    <row r="403" spans="1:13" s="70" customFormat="1" ht="27" customHeight="1">
      <c r="A403" s="672"/>
      <c r="B403" s="625"/>
      <c r="C403" s="627"/>
      <c r="D403" s="450"/>
      <c r="E403" s="47">
        <f t="shared" si="71"/>
        <v>5710.81</v>
      </c>
      <c r="F403" s="21">
        <v>0</v>
      </c>
      <c r="G403" s="21">
        <f t="shared" si="73"/>
        <v>0</v>
      </c>
      <c r="H403" s="21"/>
      <c r="I403" s="21"/>
      <c r="J403" s="21">
        <v>5710.81</v>
      </c>
      <c r="K403" s="21">
        <v>0</v>
      </c>
      <c r="L403" s="3" t="s">
        <v>206</v>
      </c>
      <c r="M403" s="476"/>
    </row>
    <row r="404" spans="1:13" s="70" customFormat="1" ht="27" customHeight="1">
      <c r="A404" s="672"/>
      <c r="B404" s="625"/>
      <c r="C404" s="627"/>
      <c r="D404" s="450"/>
      <c r="E404" s="47">
        <f t="shared" si="71"/>
        <v>5709.542</v>
      </c>
      <c r="F404" s="21">
        <v>0</v>
      </c>
      <c r="G404" s="21">
        <v>0</v>
      </c>
      <c r="H404" s="21"/>
      <c r="I404" s="21"/>
      <c r="J404" s="21">
        <v>5709.542</v>
      </c>
      <c r="K404" s="21"/>
      <c r="L404" s="3" t="s">
        <v>152</v>
      </c>
      <c r="M404" s="476"/>
    </row>
    <row r="405" spans="1:13" s="70" customFormat="1" ht="27" customHeight="1">
      <c r="A405" s="672"/>
      <c r="B405" s="625"/>
      <c r="C405" s="627"/>
      <c r="D405" s="450"/>
      <c r="E405" s="47">
        <f t="shared" si="71"/>
        <v>189.873</v>
      </c>
      <c r="F405" s="21">
        <v>0</v>
      </c>
      <c r="G405" s="21">
        <v>0</v>
      </c>
      <c r="H405" s="21"/>
      <c r="I405" s="21"/>
      <c r="J405" s="21">
        <f>190-0.127</f>
        <v>189.873</v>
      </c>
      <c r="K405" s="21"/>
      <c r="L405" s="3" t="s">
        <v>208</v>
      </c>
      <c r="M405" s="476"/>
    </row>
    <row r="406" spans="1:13" s="70" customFormat="1" ht="27" customHeight="1" thickBot="1">
      <c r="A406" s="672"/>
      <c r="B406" s="625"/>
      <c r="C406" s="627"/>
      <c r="D406" s="575"/>
      <c r="E406" s="281">
        <f t="shared" si="71"/>
        <v>7315.8185</v>
      </c>
      <c r="F406" s="282">
        <v>0</v>
      </c>
      <c r="G406" s="282">
        <f t="shared" si="73"/>
        <v>1271</v>
      </c>
      <c r="H406" s="282"/>
      <c r="I406" s="282">
        <v>1271</v>
      </c>
      <c r="J406" s="282">
        <f>6405.021-360.3295+0.127</f>
        <v>6044.8185</v>
      </c>
      <c r="K406" s="282">
        <v>0</v>
      </c>
      <c r="L406" s="58" t="s">
        <v>207</v>
      </c>
      <c r="M406" s="476"/>
    </row>
    <row r="407" spans="1:13" s="70" customFormat="1" ht="27" customHeight="1" thickBot="1">
      <c r="A407" s="672"/>
      <c r="B407" s="625"/>
      <c r="C407" s="627"/>
      <c r="D407" s="154">
        <v>2021</v>
      </c>
      <c r="E407" s="286">
        <f>F407+G407+J407+K407</f>
        <v>231301.146</v>
      </c>
      <c r="F407" s="286">
        <f aca="true" t="shared" si="74" ref="F407:K407">SUM(F408:F416)</f>
        <v>143532.8</v>
      </c>
      <c r="G407" s="286">
        <f>H407+I407</f>
        <v>1271</v>
      </c>
      <c r="H407" s="286">
        <f t="shared" si="74"/>
        <v>0</v>
      </c>
      <c r="I407" s="286">
        <f t="shared" si="74"/>
        <v>1271</v>
      </c>
      <c r="J407" s="286">
        <f>SUM(J408:J416)</f>
        <v>86497.346</v>
      </c>
      <c r="K407" s="286">
        <f t="shared" si="74"/>
        <v>0</v>
      </c>
      <c r="L407" s="299"/>
      <c r="M407" s="516"/>
    </row>
    <row r="408" spans="1:13" s="70" customFormat="1" ht="27" customHeight="1">
      <c r="A408" s="672"/>
      <c r="B408" s="625"/>
      <c r="C408" s="627"/>
      <c r="D408" s="73"/>
      <c r="E408" s="283">
        <f>F408+G408+J408+K408</f>
        <v>25453.165999999997</v>
      </c>
      <c r="F408" s="289">
        <v>14100</v>
      </c>
      <c r="G408" s="289">
        <f>H408+I408</f>
        <v>0</v>
      </c>
      <c r="H408" s="289"/>
      <c r="I408" s="289"/>
      <c r="J408" s="289">
        <v>11353.166</v>
      </c>
      <c r="K408" s="289">
        <v>0</v>
      </c>
      <c r="L408" s="279" t="s">
        <v>10</v>
      </c>
      <c r="M408" s="476"/>
    </row>
    <row r="409" spans="1:13" s="70" customFormat="1" ht="27" customHeight="1">
      <c r="A409" s="672"/>
      <c r="B409" s="625"/>
      <c r="C409" s="627"/>
      <c r="D409" s="7"/>
      <c r="E409" s="47">
        <f aca="true" t="shared" si="75" ref="E409:E416">F409+G409+J409+K409</f>
        <v>52708.347</v>
      </c>
      <c r="F409" s="21">
        <v>29100</v>
      </c>
      <c r="G409" s="21">
        <f aca="true" t="shared" si="76" ref="G409:G416">H409+I409</f>
        <v>0</v>
      </c>
      <c r="H409" s="21"/>
      <c r="I409" s="21"/>
      <c r="J409" s="21">
        <v>23608.347</v>
      </c>
      <c r="K409" s="21">
        <v>0</v>
      </c>
      <c r="L409" s="3" t="s">
        <v>29</v>
      </c>
      <c r="M409" s="476"/>
    </row>
    <row r="410" spans="1:13" s="70" customFormat="1" ht="27" customHeight="1">
      <c r="A410" s="672"/>
      <c r="B410" s="625"/>
      <c r="C410" s="627"/>
      <c r="D410" s="7"/>
      <c r="E410" s="47">
        <f t="shared" si="75"/>
        <v>31132.82</v>
      </c>
      <c r="F410" s="21">
        <v>15500</v>
      </c>
      <c r="G410" s="21">
        <f t="shared" si="76"/>
        <v>0</v>
      </c>
      <c r="H410" s="21"/>
      <c r="I410" s="21"/>
      <c r="J410" s="21">
        <v>15632.82</v>
      </c>
      <c r="K410" s="21">
        <v>0</v>
      </c>
      <c r="L410" s="3" t="s">
        <v>30</v>
      </c>
      <c r="M410" s="476"/>
    </row>
    <row r="411" spans="1:13" s="70" customFormat="1" ht="27" customHeight="1">
      <c r="A411" s="672"/>
      <c r="B411" s="625"/>
      <c r="C411" s="627"/>
      <c r="D411" s="7"/>
      <c r="E411" s="47">
        <f t="shared" si="75"/>
        <v>47580.724</v>
      </c>
      <c r="F411" s="21">
        <v>39232.8</v>
      </c>
      <c r="G411" s="21">
        <f t="shared" si="76"/>
        <v>0</v>
      </c>
      <c r="H411" s="21"/>
      <c r="I411" s="21"/>
      <c r="J411" s="21">
        <v>8347.924</v>
      </c>
      <c r="K411" s="21">
        <v>0</v>
      </c>
      <c r="L411" s="3" t="s">
        <v>31</v>
      </c>
      <c r="M411" s="476"/>
    </row>
    <row r="412" spans="1:13" s="70" customFormat="1" ht="27" customHeight="1">
      <c r="A412" s="672"/>
      <c r="B412" s="625"/>
      <c r="C412" s="627"/>
      <c r="D412" s="7"/>
      <c r="E412" s="47">
        <f t="shared" si="75"/>
        <v>54475</v>
      </c>
      <c r="F412" s="21">
        <v>45600</v>
      </c>
      <c r="G412" s="21">
        <f t="shared" si="76"/>
        <v>0</v>
      </c>
      <c r="H412" s="21"/>
      <c r="I412" s="21"/>
      <c r="J412" s="21">
        <v>8875</v>
      </c>
      <c r="K412" s="21">
        <v>0</v>
      </c>
      <c r="L412" s="3" t="s">
        <v>17</v>
      </c>
      <c r="M412" s="476"/>
    </row>
    <row r="413" spans="1:13" s="70" customFormat="1" ht="27" customHeight="1">
      <c r="A413" s="672"/>
      <c r="B413" s="625"/>
      <c r="C413" s="627"/>
      <c r="D413" s="7"/>
      <c r="E413" s="47">
        <f t="shared" si="75"/>
        <v>5882.135</v>
      </c>
      <c r="F413" s="21">
        <v>0</v>
      </c>
      <c r="G413" s="21">
        <f t="shared" si="76"/>
        <v>0</v>
      </c>
      <c r="H413" s="21"/>
      <c r="I413" s="21"/>
      <c r="J413" s="21">
        <v>5882.135</v>
      </c>
      <c r="K413" s="21">
        <v>0</v>
      </c>
      <c r="L413" s="6" t="s">
        <v>206</v>
      </c>
      <c r="M413" s="476"/>
    </row>
    <row r="414" spans="1:13" s="70" customFormat="1" ht="27" customHeight="1">
      <c r="A414" s="672"/>
      <c r="B414" s="625"/>
      <c r="C414" s="627"/>
      <c r="D414" s="7"/>
      <c r="E414" s="47">
        <f t="shared" si="75"/>
        <v>5964.312</v>
      </c>
      <c r="F414" s="21">
        <v>0</v>
      </c>
      <c r="G414" s="21">
        <f t="shared" si="76"/>
        <v>0</v>
      </c>
      <c r="H414" s="21"/>
      <c r="I414" s="21"/>
      <c r="J414" s="21">
        <v>5964.312</v>
      </c>
      <c r="K414" s="21"/>
      <c r="L414" s="6" t="s">
        <v>152</v>
      </c>
      <c r="M414" s="476"/>
    </row>
    <row r="415" spans="1:13" s="70" customFormat="1" ht="27" customHeight="1">
      <c r="A415" s="672"/>
      <c r="B415" s="625"/>
      <c r="C415" s="627"/>
      <c r="D415" s="7"/>
      <c r="E415" s="47">
        <f t="shared" si="75"/>
        <v>189.873</v>
      </c>
      <c r="F415" s="21">
        <v>0</v>
      </c>
      <c r="G415" s="21">
        <f t="shared" si="76"/>
        <v>0</v>
      </c>
      <c r="H415" s="21"/>
      <c r="I415" s="21"/>
      <c r="J415" s="21">
        <f>190-0.127</f>
        <v>189.873</v>
      </c>
      <c r="K415" s="21"/>
      <c r="L415" s="6" t="s">
        <v>208</v>
      </c>
      <c r="M415" s="476"/>
    </row>
    <row r="416" spans="1:13" s="70" customFormat="1" ht="31.5" customHeight="1" thickBot="1">
      <c r="A416" s="672"/>
      <c r="B416" s="625"/>
      <c r="C416" s="627"/>
      <c r="D416" s="55"/>
      <c r="E416" s="281">
        <f t="shared" si="75"/>
        <v>7914.769</v>
      </c>
      <c r="F416" s="282">
        <v>0</v>
      </c>
      <c r="G416" s="282">
        <f t="shared" si="76"/>
        <v>1271</v>
      </c>
      <c r="H416" s="282"/>
      <c r="I416" s="282">
        <v>1271</v>
      </c>
      <c r="J416" s="282">
        <v>6643.769</v>
      </c>
      <c r="K416" s="282">
        <v>0</v>
      </c>
      <c r="L416" s="361" t="s">
        <v>207</v>
      </c>
      <c r="M416" s="476"/>
    </row>
    <row r="417" spans="1:13" s="70" customFormat="1" ht="27.75" customHeight="1" thickBot="1">
      <c r="A417" s="672"/>
      <c r="B417" s="625"/>
      <c r="C417" s="627"/>
      <c r="D417" s="154">
        <v>2022</v>
      </c>
      <c r="E417" s="286">
        <f aca="true" t="shared" si="77" ref="E417:K417">SUM(E418:E426)</f>
        <v>231301.14600000004</v>
      </c>
      <c r="F417" s="286">
        <f t="shared" si="77"/>
        <v>143532.8</v>
      </c>
      <c r="G417" s="286">
        <f t="shared" si="77"/>
        <v>1271</v>
      </c>
      <c r="H417" s="286">
        <f t="shared" si="77"/>
        <v>0</v>
      </c>
      <c r="I417" s="286">
        <f t="shared" si="77"/>
        <v>1271</v>
      </c>
      <c r="J417" s="286">
        <f t="shared" si="77"/>
        <v>86497.346</v>
      </c>
      <c r="K417" s="286">
        <f t="shared" si="77"/>
        <v>0</v>
      </c>
      <c r="L417" s="189"/>
      <c r="M417" s="516"/>
    </row>
    <row r="418" spans="1:13" s="70" customFormat="1" ht="27" customHeight="1">
      <c r="A418" s="672"/>
      <c r="B418" s="625"/>
      <c r="C418" s="627"/>
      <c r="D418" s="430"/>
      <c r="E418" s="283">
        <f>F418+G418+J418+K418</f>
        <v>25453.165999999997</v>
      </c>
      <c r="F418" s="289">
        <v>14100</v>
      </c>
      <c r="G418" s="289">
        <f>H418+I418</f>
        <v>0</v>
      </c>
      <c r="H418" s="289"/>
      <c r="I418" s="289"/>
      <c r="J418" s="289">
        <v>11353.166</v>
      </c>
      <c r="K418" s="289">
        <v>0</v>
      </c>
      <c r="L418" s="109" t="s">
        <v>10</v>
      </c>
      <c r="M418" s="476"/>
    </row>
    <row r="419" spans="1:13" s="70" customFormat="1" ht="27" customHeight="1">
      <c r="A419" s="672"/>
      <c r="B419" s="625"/>
      <c r="C419" s="627"/>
      <c r="D419" s="430"/>
      <c r="E419" s="47">
        <f aca="true" t="shared" si="78" ref="E419:E426">F419+G419+J419+K419</f>
        <v>52708.347</v>
      </c>
      <c r="F419" s="21">
        <v>29100</v>
      </c>
      <c r="G419" s="21">
        <f aca="true" t="shared" si="79" ref="G419:G426">H419+I419</f>
        <v>0</v>
      </c>
      <c r="H419" s="21"/>
      <c r="I419" s="21"/>
      <c r="J419" s="21">
        <v>23608.347</v>
      </c>
      <c r="K419" s="21">
        <v>0</v>
      </c>
      <c r="L419" s="6" t="s">
        <v>29</v>
      </c>
      <c r="M419" s="476"/>
    </row>
    <row r="420" spans="1:13" s="70" customFormat="1" ht="27" customHeight="1">
      <c r="A420" s="672"/>
      <c r="B420" s="625"/>
      <c r="C420" s="627"/>
      <c r="D420" s="430"/>
      <c r="E420" s="47">
        <f t="shared" si="78"/>
        <v>31132.82</v>
      </c>
      <c r="F420" s="21">
        <v>15500</v>
      </c>
      <c r="G420" s="21">
        <f t="shared" si="79"/>
        <v>0</v>
      </c>
      <c r="H420" s="21"/>
      <c r="I420" s="21"/>
      <c r="J420" s="21">
        <v>15632.82</v>
      </c>
      <c r="K420" s="21">
        <v>0</v>
      </c>
      <c r="L420" s="6" t="s">
        <v>30</v>
      </c>
      <c r="M420" s="476"/>
    </row>
    <row r="421" spans="1:13" s="70" customFormat="1" ht="27" customHeight="1">
      <c r="A421" s="672"/>
      <c r="B421" s="625"/>
      <c r="C421" s="627"/>
      <c r="D421" s="430"/>
      <c r="E421" s="47">
        <f t="shared" si="78"/>
        <v>47580.724</v>
      </c>
      <c r="F421" s="21">
        <v>39232.8</v>
      </c>
      <c r="G421" s="21">
        <f t="shared" si="79"/>
        <v>0</v>
      </c>
      <c r="H421" s="21"/>
      <c r="I421" s="21"/>
      <c r="J421" s="21">
        <v>8347.924</v>
      </c>
      <c r="K421" s="21">
        <v>0</v>
      </c>
      <c r="L421" s="6" t="s">
        <v>31</v>
      </c>
      <c r="M421" s="476"/>
    </row>
    <row r="422" spans="1:13" s="70" customFormat="1" ht="27" customHeight="1">
      <c r="A422" s="672"/>
      <c r="B422" s="625"/>
      <c r="C422" s="627"/>
      <c r="D422" s="430"/>
      <c r="E422" s="47">
        <f t="shared" si="78"/>
        <v>54475</v>
      </c>
      <c r="F422" s="21">
        <v>45600</v>
      </c>
      <c r="G422" s="21">
        <f t="shared" si="79"/>
        <v>0</v>
      </c>
      <c r="H422" s="21"/>
      <c r="I422" s="21"/>
      <c r="J422" s="21">
        <v>8875</v>
      </c>
      <c r="K422" s="21">
        <v>0</v>
      </c>
      <c r="L422" s="6" t="s">
        <v>17</v>
      </c>
      <c r="M422" s="476"/>
    </row>
    <row r="423" spans="1:13" s="70" customFormat="1" ht="27" customHeight="1">
      <c r="A423" s="672"/>
      <c r="B423" s="625"/>
      <c r="C423" s="627"/>
      <c r="D423" s="430"/>
      <c r="E423" s="47">
        <f t="shared" si="78"/>
        <v>5882.135</v>
      </c>
      <c r="F423" s="21">
        <v>0</v>
      </c>
      <c r="G423" s="21">
        <f>H423+I423</f>
        <v>0</v>
      </c>
      <c r="H423" s="21"/>
      <c r="I423" s="21"/>
      <c r="J423" s="21">
        <v>5882.135</v>
      </c>
      <c r="K423" s="21">
        <v>0</v>
      </c>
      <c r="L423" s="6" t="s">
        <v>206</v>
      </c>
      <c r="M423" s="476"/>
    </row>
    <row r="424" spans="1:13" s="70" customFormat="1" ht="27" customHeight="1">
      <c r="A424" s="672"/>
      <c r="B424" s="625"/>
      <c r="C424" s="627"/>
      <c r="D424" s="430"/>
      <c r="E424" s="47">
        <f t="shared" si="78"/>
        <v>5964.312</v>
      </c>
      <c r="F424" s="21">
        <v>0</v>
      </c>
      <c r="G424" s="21">
        <f t="shared" si="79"/>
        <v>0</v>
      </c>
      <c r="H424" s="21"/>
      <c r="I424" s="21"/>
      <c r="J424" s="21">
        <v>5964.312</v>
      </c>
      <c r="K424" s="21">
        <v>0</v>
      </c>
      <c r="L424" s="6" t="s">
        <v>152</v>
      </c>
      <c r="M424" s="476"/>
    </row>
    <row r="425" spans="1:13" s="70" customFormat="1" ht="27" customHeight="1">
      <c r="A425" s="672"/>
      <c r="B425" s="625"/>
      <c r="C425" s="627"/>
      <c r="D425" s="430"/>
      <c r="E425" s="47">
        <f t="shared" si="78"/>
        <v>189.873</v>
      </c>
      <c r="F425" s="21">
        <v>0</v>
      </c>
      <c r="G425" s="21">
        <f t="shared" si="79"/>
        <v>0</v>
      </c>
      <c r="H425" s="21"/>
      <c r="I425" s="21"/>
      <c r="J425" s="21">
        <f>190-0.127</f>
        <v>189.873</v>
      </c>
      <c r="K425" s="21">
        <v>0</v>
      </c>
      <c r="L425" s="6" t="s">
        <v>208</v>
      </c>
      <c r="M425" s="476"/>
    </row>
    <row r="426" spans="1:13" s="70" customFormat="1" ht="27" customHeight="1" thickBot="1">
      <c r="A426" s="672"/>
      <c r="B426" s="625"/>
      <c r="C426" s="627"/>
      <c r="D426" s="430"/>
      <c r="E426" s="281">
        <f t="shared" si="78"/>
        <v>7914.769</v>
      </c>
      <c r="F426" s="282">
        <v>0</v>
      </c>
      <c r="G426" s="282">
        <f t="shared" si="79"/>
        <v>1271</v>
      </c>
      <c r="H426" s="282"/>
      <c r="I426" s="282">
        <v>1271</v>
      </c>
      <c r="J426" s="282">
        <v>6643.769</v>
      </c>
      <c r="K426" s="282">
        <v>0</v>
      </c>
      <c r="L426" s="361" t="s">
        <v>207</v>
      </c>
      <c r="M426" s="637"/>
    </row>
    <row r="427" spans="1:13" s="70" customFormat="1" ht="27" customHeight="1" thickBot="1">
      <c r="A427" s="672"/>
      <c r="B427" s="625"/>
      <c r="C427" s="627"/>
      <c r="D427" s="154">
        <v>2023</v>
      </c>
      <c r="E427" s="323">
        <f>F427+G427+J427+K427</f>
        <v>87768.346</v>
      </c>
      <c r="F427" s="323">
        <f aca="true" t="shared" si="80" ref="F427:K427">SUM(F428:F436)</f>
        <v>0</v>
      </c>
      <c r="G427" s="323">
        <f t="shared" si="80"/>
        <v>1271</v>
      </c>
      <c r="H427" s="323">
        <f t="shared" si="80"/>
        <v>0</v>
      </c>
      <c r="I427" s="323">
        <f t="shared" si="80"/>
        <v>1271</v>
      </c>
      <c r="J427" s="323">
        <f t="shared" si="80"/>
        <v>86497.346</v>
      </c>
      <c r="K427" s="286">
        <f t="shared" si="80"/>
        <v>0</v>
      </c>
      <c r="L427" s="365"/>
      <c r="M427" s="706"/>
    </row>
    <row r="428" spans="1:13" s="70" customFormat="1" ht="27" customHeight="1">
      <c r="A428" s="672"/>
      <c r="B428" s="625"/>
      <c r="C428" s="627"/>
      <c r="D428" s="73"/>
      <c r="E428" s="283">
        <f>F428+G428+J428+K428</f>
        <v>11353.166</v>
      </c>
      <c r="F428" s="289">
        <v>0</v>
      </c>
      <c r="G428" s="289">
        <f>H428+I428</f>
        <v>0</v>
      </c>
      <c r="H428" s="289"/>
      <c r="I428" s="289"/>
      <c r="J428" s="289">
        <v>11353.166</v>
      </c>
      <c r="K428" s="289">
        <v>0</v>
      </c>
      <c r="L428" s="357" t="s">
        <v>10</v>
      </c>
      <c r="M428" s="707"/>
    </row>
    <row r="429" spans="1:13" s="70" customFormat="1" ht="27" customHeight="1">
      <c r="A429" s="672"/>
      <c r="B429" s="625"/>
      <c r="C429" s="627"/>
      <c r="D429" s="7"/>
      <c r="E429" s="47">
        <f aca="true" t="shared" si="81" ref="E429:E436">F429+G429+J429+K429</f>
        <v>23608.347</v>
      </c>
      <c r="F429" s="21">
        <v>0</v>
      </c>
      <c r="G429" s="21">
        <f aca="true" t="shared" si="82" ref="G429:G436">H429+I429</f>
        <v>0</v>
      </c>
      <c r="H429" s="21"/>
      <c r="I429" s="21"/>
      <c r="J429" s="21">
        <v>23608.347</v>
      </c>
      <c r="K429" s="21">
        <v>0</v>
      </c>
      <c r="L429" s="366" t="s">
        <v>29</v>
      </c>
      <c r="M429" s="707"/>
    </row>
    <row r="430" spans="1:13" s="70" customFormat="1" ht="27" customHeight="1">
      <c r="A430" s="672"/>
      <c r="B430" s="625"/>
      <c r="C430" s="627"/>
      <c r="D430" s="7"/>
      <c r="E430" s="47">
        <f t="shared" si="81"/>
        <v>15632.82</v>
      </c>
      <c r="F430" s="21">
        <v>0</v>
      </c>
      <c r="G430" s="21">
        <f t="shared" si="82"/>
        <v>0</v>
      </c>
      <c r="H430" s="21"/>
      <c r="I430" s="21"/>
      <c r="J430" s="21">
        <v>15632.82</v>
      </c>
      <c r="K430" s="21">
        <v>0</v>
      </c>
      <c r="L430" s="366" t="s">
        <v>30</v>
      </c>
      <c r="M430" s="707"/>
    </row>
    <row r="431" spans="1:13" s="70" customFormat="1" ht="27" customHeight="1">
      <c r="A431" s="672"/>
      <c r="B431" s="625"/>
      <c r="C431" s="627"/>
      <c r="D431" s="7"/>
      <c r="E431" s="47">
        <f t="shared" si="81"/>
        <v>8347.924</v>
      </c>
      <c r="F431" s="21">
        <v>0</v>
      </c>
      <c r="G431" s="21">
        <f t="shared" si="82"/>
        <v>0</v>
      </c>
      <c r="H431" s="21"/>
      <c r="I431" s="21"/>
      <c r="J431" s="21">
        <v>8347.924</v>
      </c>
      <c r="K431" s="21">
        <v>0</v>
      </c>
      <c r="L431" s="366" t="s">
        <v>31</v>
      </c>
      <c r="M431" s="707"/>
    </row>
    <row r="432" spans="1:13" s="70" customFormat="1" ht="27" customHeight="1">
      <c r="A432" s="672"/>
      <c r="B432" s="625"/>
      <c r="C432" s="627"/>
      <c r="D432" s="7"/>
      <c r="E432" s="47">
        <f t="shared" si="81"/>
        <v>8875</v>
      </c>
      <c r="F432" s="21">
        <v>0</v>
      </c>
      <c r="G432" s="21">
        <f t="shared" si="82"/>
        <v>0</v>
      </c>
      <c r="H432" s="21"/>
      <c r="I432" s="21"/>
      <c r="J432" s="21">
        <v>8875</v>
      </c>
      <c r="K432" s="21">
        <v>0</v>
      </c>
      <c r="L432" s="366" t="s">
        <v>17</v>
      </c>
      <c r="M432" s="707"/>
    </row>
    <row r="433" spans="1:13" s="70" customFormat="1" ht="27" customHeight="1">
      <c r="A433" s="672"/>
      <c r="B433" s="625"/>
      <c r="C433" s="627"/>
      <c r="D433" s="7"/>
      <c r="E433" s="47">
        <f t="shared" si="81"/>
        <v>5882.135</v>
      </c>
      <c r="F433" s="21">
        <v>0</v>
      </c>
      <c r="G433" s="21">
        <f t="shared" si="82"/>
        <v>0</v>
      </c>
      <c r="H433" s="21"/>
      <c r="I433" s="21"/>
      <c r="J433" s="21">
        <v>5882.135</v>
      </c>
      <c r="K433" s="21">
        <v>0</v>
      </c>
      <c r="L433" s="366" t="s">
        <v>210</v>
      </c>
      <c r="M433" s="707"/>
    </row>
    <row r="434" spans="1:13" s="70" customFormat="1" ht="27" customHeight="1">
      <c r="A434" s="672"/>
      <c r="B434" s="625"/>
      <c r="C434" s="627"/>
      <c r="D434" s="7"/>
      <c r="E434" s="47">
        <f t="shared" si="81"/>
        <v>5964.312</v>
      </c>
      <c r="F434" s="21">
        <v>0</v>
      </c>
      <c r="G434" s="21">
        <f t="shared" si="82"/>
        <v>0</v>
      </c>
      <c r="H434" s="21"/>
      <c r="I434" s="21"/>
      <c r="J434" s="21">
        <v>5964.312</v>
      </c>
      <c r="K434" s="21">
        <v>0</v>
      </c>
      <c r="L434" s="366" t="s">
        <v>152</v>
      </c>
      <c r="M434" s="707"/>
    </row>
    <row r="435" spans="1:13" s="70" customFormat="1" ht="27" customHeight="1">
      <c r="A435" s="672"/>
      <c r="B435" s="625"/>
      <c r="C435" s="627"/>
      <c r="D435" s="7"/>
      <c r="E435" s="47">
        <f t="shared" si="81"/>
        <v>189.873</v>
      </c>
      <c r="F435" s="21">
        <v>0</v>
      </c>
      <c r="G435" s="21">
        <f t="shared" si="82"/>
        <v>0</v>
      </c>
      <c r="H435" s="21"/>
      <c r="I435" s="21"/>
      <c r="J435" s="21">
        <f>190-0.127</f>
        <v>189.873</v>
      </c>
      <c r="K435" s="21">
        <v>0</v>
      </c>
      <c r="L435" s="366" t="s">
        <v>208</v>
      </c>
      <c r="M435" s="707"/>
    </row>
    <row r="436" spans="1:13" s="70" customFormat="1" ht="27" customHeight="1" thickBot="1">
      <c r="A436" s="673"/>
      <c r="B436" s="669"/>
      <c r="C436" s="670"/>
      <c r="D436" s="55"/>
      <c r="E436" s="281">
        <f t="shared" si="81"/>
        <v>7914.769</v>
      </c>
      <c r="F436" s="282">
        <v>0</v>
      </c>
      <c r="G436" s="282">
        <f t="shared" si="82"/>
        <v>1271</v>
      </c>
      <c r="H436" s="282"/>
      <c r="I436" s="282">
        <v>1271</v>
      </c>
      <c r="J436" s="282">
        <v>6643.769</v>
      </c>
      <c r="K436" s="282">
        <v>0</v>
      </c>
      <c r="L436" s="356" t="s">
        <v>207</v>
      </c>
      <c r="M436" s="708"/>
    </row>
    <row r="437" spans="1:13" s="81" customFormat="1" ht="27" customHeight="1" thickBot="1">
      <c r="A437" s="432" t="s">
        <v>262</v>
      </c>
      <c r="B437" s="623" t="s">
        <v>274</v>
      </c>
      <c r="C437" s="624"/>
      <c r="D437" s="154">
        <v>2020</v>
      </c>
      <c r="E437" s="286">
        <f aca="true" t="shared" si="83" ref="E437:J437">E438+E439</f>
        <v>1979.1</v>
      </c>
      <c r="F437" s="286">
        <f t="shared" si="83"/>
        <v>0</v>
      </c>
      <c r="G437" s="286">
        <f>G438+G439</f>
        <v>1979.1</v>
      </c>
      <c r="H437" s="286">
        <f t="shared" si="83"/>
        <v>1979.1</v>
      </c>
      <c r="I437" s="286">
        <f>I438+I439</f>
        <v>0</v>
      </c>
      <c r="J437" s="286">
        <f t="shared" si="83"/>
        <v>0</v>
      </c>
      <c r="K437" s="287">
        <f>K438+K439</f>
        <v>0</v>
      </c>
      <c r="L437" s="304"/>
      <c r="M437" s="586"/>
    </row>
    <row r="438" spans="1:13" s="70" customFormat="1" ht="27" customHeight="1">
      <c r="A438" s="433"/>
      <c r="B438" s="625"/>
      <c r="C438" s="626"/>
      <c r="D438" s="149" t="s">
        <v>151</v>
      </c>
      <c r="E438" s="289">
        <f>F438+G438+J438</f>
        <v>925.3</v>
      </c>
      <c r="F438" s="289">
        <v>0</v>
      </c>
      <c r="G438" s="289">
        <f>H438+I438</f>
        <v>925.3</v>
      </c>
      <c r="H438" s="289">
        <v>925.3</v>
      </c>
      <c r="I438" s="289">
        <v>0</v>
      </c>
      <c r="J438" s="289">
        <v>0</v>
      </c>
      <c r="K438" s="289">
        <v>0</v>
      </c>
      <c r="L438" s="413" t="s">
        <v>151</v>
      </c>
      <c r="M438" s="587"/>
    </row>
    <row r="439" spans="1:13" s="70" customFormat="1" ht="27" customHeight="1" thickBot="1">
      <c r="A439" s="433"/>
      <c r="B439" s="625"/>
      <c r="C439" s="626"/>
      <c r="D439" s="225" t="s">
        <v>150</v>
      </c>
      <c r="E439" s="282">
        <f>F439+G439+J439</f>
        <v>1053.8</v>
      </c>
      <c r="F439" s="282">
        <v>0</v>
      </c>
      <c r="G439" s="282">
        <f>H439+I439</f>
        <v>1053.8</v>
      </c>
      <c r="H439" s="282">
        <v>1053.8</v>
      </c>
      <c r="I439" s="282">
        <v>0</v>
      </c>
      <c r="J439" s="282">
        <v>0</v>
      </c>
      <c r="K439" s="282">
        <v>0</v>
      </c>
      <c r="L439" s="414" t="s">
        <v>150</v>
      </c>
      <c r="M439" s="587"/>
    </row>
    <row r="440" spans="1:13" s="70" customFormat="1" ht="27" customHeight="1" thickBot="1">
      <c r="A440" s="433"/>
      <c r="B440" s="625"/>
      <c r="C440" s="627"/>
      <c r="D440" s="154">
        <v>2021</v>
      </c>
      <c r="E440" s="286">
        <f aca="true" t="shared" si="84" ref="E440:E445">F440+G440+J440</f>
        <v>5937</v>
      </c>
      <c r="F440" s="286">
        <f>F441+F442</f>
        <v>0</v>
      </c>
      <c r="G440" s="286">
        <f aca="true" t="shared" si="85" ref="G440:G445">H440+I440</f>
        <v>5937</v>
      </c>
      <c r="H440" s="286">
        <f>H441+H442</f>
        <v>5937</v>
      </c>
      <c r="I440" s="286">
        <f>I441+I442</f>
        <v>0</v>
      </c>
      <c r="J440" s="286">
        <f>J441+J442</f>
        <v>0</v>
      </c>
      <c r="K440" s="287">
        <f>K441+K442</f>
        <v>0</v>
      </c>
      <c r="L440" s="288"/>
      <c r="M440" s="587"/>
    </row>
    <row r="441" spans="1:13" s="70" customFormat="1" ht="27" customHeight="1">
      <c r="A441" s="433"/>
      <c r="B441" s="625"/>
      <c r="C441" s="626"/>
      <c r="D441" s="149" t="s">
        <v>151</v>
      </c>
      <c r="E441" s="289">
        <f t="shared" si="84"/>
        <v>2775.74</v>
      </c>
      <c r="F441" s="289"/>
      <c r="G441" s="289">
        <f t="shared" si="85"/>
        <v>2775.74</v>
      </c>
      <c r="H441" s="289">
        <v>2775.74</v>
      </c>
      <c r="I441" s="289"/>
      <c r="J441" s="289"/>
      <c r="K441" s="289"/>
      <c r="L441" s="285" t="s">
        <v>151</v>
      </c>
      <c r="M441" s="587"/>
    </row>
    <row r="442" spans="1:13" s="70" customFormat="1" ht="27" customHeight="1" thickBot="1">
      <c r="A442" s="433"/>
      <c r="B442" s="625"/>
      <c r="C442" s="626"/>
      <c r="D442" s="225" t="s">
        <v>150</v>
      </c>
      <c r="E442" s="282">
        <f t="shared" si="84"/>
        <v>3161.26</v>
      </c>
      <c r="F442" s="282"/>
      <c r="G442" s="282">
        <f t="shared" si="85"/>
        <v>3161.26</v>
      </c>
      <c r="H442" s="282">
        <v>3161.26</v>
      </c>
      <c r="I442" s="282"/>
      <c r="J442" s="282"/>
      <c r="K442" s="282"/>
      <c r="L442" s="285" t="s">
        <v>150</v>
      </c>
      <c r="M442" s="587"/>
    </row>
    <row r="443" spans="1:13" s="70" customFormat="1" ht="27" customHeight="1" thickBot="1">
      <c r="A443" s="433"/>
      <c r="B443" s="625"/>
      <c r="C443" s="627"/>
      <c r="D443" s="154">
        <v>2022</v>
      </c>
      <c r="E443" s="286">
        <f t="shared" si="84"/>
        <v>5937</v>
      </c>
      <c r="F443" s="286">
        <f>F444+F445</f>
        <v>0</v>
      </c>
      <c r="G443" s="286">
        <f t="shared" si="85"/>
        <v>5937</v>
      </c>
      <c r="H443" s="286">
        <f>H444+H445</f>
        <v>5937</v>
      </c>
      <c r="I443" s="286">
        <f>I444+I445</f>
        <v>0</v>
      </c>
      <c r="J443" s="286">
        <f>J444+J445</f>
        <v>0</v>
      </c>
      <c r="K443" s="287">
        <f>K444+K445</f>
        <v>0</v>
      </c>
      <c r="L443" s="288"/>
      <c r="M443" s="587"/>
    </row>
    <row r="444" spans="1:13" s="70" customFormat="1" ht="33" customHeight="1">
      <c r="A444" s="433"/>
      <c r="B444" s="625"/>
      <c r="C444" s="626"/>
      <c r="D444" s="149" t="s">
        <v>151</v>
      </c>
      <c r="E444" s="289">
        <f t="shared" si="84"/>
        <v>2775.74</v>
      </c>
      <c r="F444" s="289"/>
      <c r="G444" s="289">
        <f t="shared" si="85"/>
        <v>2775.74</v>
      </c>
      <c r="H444" s="289">
        <v>2775.74</v>
      </c>
      <c r="I444" s="289"/>
      <c r="J444" s="289"/>
      <c r="K444" s="289"/>
      <c r="L444" s="285" t="s">
        <v>151</v>
      </c>
      <c r="M444" s="587"/>
    </row>
    <row r="445" spans="1:13" s="70" customFormat="1" ht="41.25" customHeight="1" thickBot="1">
      <c r="A445" s="433"/>
      <c r="B445" s="625"/>
      <c r="C445" s="626"/>
      <c r="D445" s="225" t="s">
        <v>150</v>
      </c>
      <c r="E445" s="282">
        <f t="shared" si="84"/>
        <v>3161.26</v>
      </c>
      <c r="F445" s="282"/>
      <c r="G445" s="282">
        <f t="shared" si="85"/>
        <v>3161.26</v>
      </c>
      <c r="H445" s="282">
        <v>3161.26</v>
      </c>
      <c r="I445" s="282"/>
      <c r="J445" s="282"/>
      <c r="K445" s="282"/>
      <c r="L445" s="330" t="s">
        <v>150</v>
      </c>
      <c r="M445" s="588"/>
    </row>
    <row r="446" spans="1:13" s="70" customFormat="1" ht="27" customHeight="1">
      <c r="A446" s="675"/>
      <c r="B446" s="700" t="s">
        <v>38</v>
      </c>
      <c r="C446" s="701"/>
      <c r="D446" s="314">
        <v>2017</v>
      </c>
      <c r="E446" s="284">
        <f aca="true" t="shared" si="86" ref="E446:J446">E362+E371</f>
        <v>216780.416</v>
      </c>
      <c r="F446" s="284">
        <f t="shared" si="86"/>
        <v>124615.2</v>
      </c>
      <c r="G446" s="284">
        <f t="shared" si="86"/>
        <v>727</v>
      </c>
      <c r="H446" s="284">
        <f t="shared" si="86"/>
        <v>0</v>
      </c>
      <c r="I446" s="284">
        <f>I362+I371</f>
        <v>727</v>
      </c>
      <c r="J446" s="284">
        <f t="shared" si="86"/>
        <v>91438.216</v>
      </c>
      <c r="K446" s="284">
        <f>K371+K362+K352+K296+K295+K294+K293+K292+K291+K290+K239+K238</f>
        <v>0</v>
      </c>
      <c r="L446" s="583"/>
      <c r="M446" s="706"/>
    </row>
    <row r="447" spans="1:13" s="70" customFormat="1" ht="27" customHeight="1">
      <c r="A447" s="676"/>
      <c r="B447" s="702"/>
      <c r="C447" s="703"/>
      <c r="D447" s="42">
        <v>2018</v>
      </c>
      <c r="E447" s="47">
        <f aca="true" t="shared" si="87" ref="E447:J447">E381+E373</f>
        <v>209116.99978</v>
      </c>
      <c r="F447" s="47">
        <f t="shared" si="87"/>
        <v>137344.5</v>
      </c>
      <c r="G447" s="47">
        <f t="shared" si="87"/>
        <v>1006.9820000000001</v>
      </c>
      <c r="H447" s="47">
        <f t="shared" si="87"/>
        <v>0</v>
      </c>
      <c r="I447" s="47">
        <f t="shared" si="87"/>
        <v>1006.9820000000001</v>
      </c>
      <c r="J447" s="47">
        <f t="shared" si="87"/>
        <v>70765.51778000001</v>
      </c>
      <c r="K447" s="47">
        <f>K373</f>
        <v>0</v>
      </c>
      <c r="L447" s="584"/>
      <c r="M447" s="707"/>
    </row>
    <row r="448" spans="1:13" s="70" customFormat="1" ht="27" customHeight="1">
      <c r="A448" s="676"/>
      <c r="B448" s="702"/>
      <c r="C448" s="703"/>
      <c r="D448" s="42">
        <v>2019</v>
      </c>
      <c r="E448" s="47">
        <f aca="true" t="shared" si="88" ref="E448:K448">E387</f>
        <v>229770.53044</v>
      </c>
      <c r="F448" s="47">
        <f t="shared" si="88"/>
        <v>150533.8</v>
      </c>
      <c r="G448" s="47">
        <f t="shared" si="88"/>
        <v>1276.052</v>
      </c>
      <c r="H448" s="47">
        <f t="shared" si="88"/>
        <v>0</v>
      </c>
      <c r="I448" s="47">
        <f t="shared" si="88"/>
        <v>1276.052</v>
      </c>
      <c r="J448" s="47">
        <f>J387</f>
        <v>77960.67844000002</v>
      </c>
      <c r="K448" s="47">
        <f t="shared" si="88"/>
        <v>0</v>
      </c>
      <c r="L448" s="584"/>
      <c r="M448" s="707"/>
    </row>
    <row r="449" spans="1:13" s="70" customFormat="1" ht="27" customHeight="1">
      <c r="A449" s="676"/>
      <c r="B449" s="702"/>
      <c r="C449" s="703"/>
      <c r="D449" s="42">
        <v>2020</v>
      </c>
      <c r="E449" s="47">
        <f aca="true" t="shared" si="89" ref="E449:K449">E397+E437</f>
        <v>236354.16550000003</v>
      </c>
      <c r="F449" s="47">
        <f t="shared" si="89"/>
        <v>149607</v>
      </c>
      <c r="G449" s="47">
        <f t="shared" si="89"/>
        <v>3250.1</v>
      </c>
      <c r="H449" s="47">
        <f t="shared" si="89"/>
        <v>1979.1</v>
      </c>
      <c r="I449" s="47">
        <f t="shared" si="89"/>
        <v>1271</v>
      </c>
      <c r="J449" s="47">
        <f t="shared" si="89"/>
        <v>83497.06550000001</v>
      </c>
      <c r="K449" s="47">
        <f t="shared" si="89"/>
        <v>0</v>
      </c>
      <c r="L449" s="584"/>
      <c r="M449" s="707"/>
    </row>
    <row r="450" spans="1:13" s="70" customFormat="1" ht="27" customHeight="1">
      <c r="A450" s="676"/>
      <c r="B450" s="702"/>
      <c r="C450" s="703"/>
      <c r="D450" s="42">
        <v>2021</v>
      </c>
      <c r="E450" s="47">
        <f aca="true" t="shared" si="90" ref="E450:K450">E407</f>
        <v>231301.146</v>
      </c>
      <c r="F450" s="47">
        <f t="shared" si="90"/>
        <v>143532.8</v>
      </c>
      <c r="G450" s="47">
        <f t="shared" si="90"/>
        <v>1271</v>
      </c>
      <c r="H450" s="47">
        <f t="shared" si="90"/>
        <v>0</v>
      </c>
      <c r="I450" s="47">
        <f t="shared" si="90"/>
        <v>1271</v>
      </c>
      <c r="J450" s="47">
        <f t="shared" si="90"/>
        <v>86497.346</v>
      </c>
      <c r="K450" s="47">
        <f t="shared" si="90"/>
        <v>0</v>
      </c>
      <c r="L450" s="584"/>
      <c r="M450" s="707"/>
    </row>
    <row r="451" spans="1:13" s="70" customFormat="1" ht="27" customHeight="1">
      <c r="A451" s="676"/>
      <c r="B451" s="702"/>
      <c r="C451" s="703"/>
      <c r="D451" s="42">
        <v>2022</v>
      </c>
      <c r="E451" s="47">
        <f aca="true" t="shared" si="91" ref="E451:K451">E417</f>
        <v>231301.14600000004</v>
      </c>
      <c r="F451" s="47">
        <f t="shared" si="91"/>
        <v>143532.8</v>
      </c>
      <c r="G451" s="47">
        <f t="shared" si="91"/>
        <v>1271</v>
      </c>
      <c r="H451" s="47">
        <f t="shared" si="91"/>
        <v>0</v>
      </c>
      <c r="I451" s="47">
        <f t="shared" si="91"/>
        <v>1271</v>
      </c>
      <c r="J451" s="47">
        <f t="shared" si="91"/>
        <v>86497.346</v>
      </c>
      <c r="K451" s="47">
        <f t="shared" si="91"/>
        <v>0</v>
      </c>
      <c r="L451" s="584"/>
      <c r="M451" s="707"/>
    </row>
    <row r="452" spans="1:13" s="70" customFormat="1" ht="27" customHeight="1" thickBot="1">
      <c r="A452" s="677"/>
      <c r="B452" s="704"/>
      <c r="C452" s="705"/>
      <c r="D452" s="331">
        <v>2023</v>
      </c>
      <c r="E452" s="332">
        <f aca="true" t="shared" si="92" ref="E452:K452">E427</f>
        <v>87768.346</v>
      </c>
      <c r="F452" s="332">
        <f t="shared" si="92"/>
        <v>0</v>
      </c>
      <c r="G452" s="332">
        <f t="shared" si="92"/>
        <v>1271</v>
      </c>
      <c r="H452" s="332">
        <f t="shared" si="92"/>
        <v>0</v>
      </c>
      <c r="I452" s="332">
        <f t="shared" si="92"/>
        <v>1271</v>
      </c>
      <c r="J452" s="332">
        <f t="shared" si="92"/>
        <v>86497.346</v>
      </c>
      <c r="K452" s="332">
        <f t="shared" si="92"/>
        <v>0</v>
      </c>
      <c r="L452" s="585"/>
      <c r="M452" s="708"/>
    </row>
    <row r="453" spans="1:13" s="70" customFormat="1" ht="27" customHeight="1">
      <c r="A453" s="628" t="s">
        <v>57</v>
      </c>
      <c r="B453" s="608"/>
      <c r="C453" s="608"/>
      <c r="D453" s="608"/>
      <c r="E453" s="608"/>
      <c r="F453" s="608"/>
      <c r="G453" s="608"/>
      <c r="H453" s="608"/>
      <c r="I453" s="608"/>
      <c r="J453" s="608"/>
      <c r="K453" s="608"/>
      <c r="L453" s="608"/>
      <c r="M453" s="715"/>
    </row>
    <row r="454" spans="1:13" s="70" customFormat="1" ht="27" customHeight="1">
      <c r="A454" s="589" t="s">
        <v>138</v>
      </c>
      <c r="B454" s="611"/>
      <c r="C454" s="611"/>
      <c r="D454" s="611"/>
      <c r="E454" s="611"/>
      <c r="F454" s="611"/>
      <c r="G454" s="611"/>
      <c r="H454" s="611"/>
      <c r="I454" s="611"/>
      <c r="J454" s="611"/>
      <c r="K454" s="611"/>
      <c r="L454" s="612"/>
      <c r="M454" s="23"/>
    </row>
    <row r="455" spans="1:13" s="70" customFormat="1" ht="29.25" customHeight="1" thickBot="1">
      <c r="A455" s="684" t="s">
        <v>22</v>
      </c>
      <c r="B455" s="685"/>
      <c r="C455" s="685"/>
      <c r="D455" s="685"/>
      <c r="E455" s="685"/>
      <c r="F455" s="685"/>
      <c r="G455" s="685"/>
      <c r="H455" s="685"/>
      <c r="I455" s="685"/>
      <c r="J455" s="685"/>
      <c r="K455" s="685"/>
      <c r="L455" s="685"/>
      <c r="M455" s="686"/>
    </row>
    <row r="456" spans="1:13" s="70" customFormat="1" ht="24.75" customHeight="1">
      <c r="A456" s="681" t="s">
        <v>88</v>
      </c>
      <c r="B456" s="678" t="s">
        <v>139</v>
      </c>
      <c r="C456" s="678"/>
      <c r="D456" s="59">
        <v>2017</v>
      </c>
      <c r="E456" s="333">
        <f aca="true" t="shared" si="93" ref="E456:E462">F456+G456+J456+K456</f>
        <v>7260.311</v>
      </c>
      <c r="F456" s="334"/>
      <c r="G456" s="334">
        <f aca="true" t="shared" si="94" ref="G456:G462">H456+I456</f>
        <v>0</v>
      </c>
      <c r="H456" s="333">
        <v>0</v>
      </c>
      <c r="I456" s="333">
        <v>0</v>
      </c>
      <c r="J456" s="333">
        <v>7260.311</v>
      </c>
      <c r="K456" s="334">
        <v>0</v>
      </c>
      <c r="L456" s="335" t="s">
        <v>148</v>
      </c>
      <c r="M456" s="690" t="s">
        <v>66</v>
      </c>
    </row>
    <row r="457" spans="1:13" s="70" customFormat="1" ht="24.75" customHeight="1">
      <c r="A457" s="682"/>
      <c r="B457" s="679"/>
      <c r="C457" s="679"/>
      <c r="D457" s="7">
        <v>2018</v>
      </c>
      <c r="E457" s="46">
        <f t="shared" si="93"/>
        <v>8308.2425</v>
      </c>
      <c r="F457" s="9"/>
      <c r="G457" s="9">
        <f t="shared" si="94"/>
        <v>0</v>
      </c>
      <c r="H457" s="46">
        <v>0</v>
      </c>
      <c r="I457" s="46">
        <v>0</v>
      </c>
      <c r="J457" s="46">
        <f>8213.1695+95.073</f>
        <v>8308.2425</v>
      </c>
      <c r="K457" s="9">
        <v>0</v>
      </c>
      <c r="L457" s="336" t="s">
        <v>148</v>
      </c>
      <c r="M457" s="691"/>
    </row>
    <row r="458" spans="1:13" s="70" customFormat="1" ht="24.75" customHeight="1">
      <c r="A458" s="682"/>
      <c r="B458" s="679"/>
      <c r="C458" s="679"/>
      <c r="D458" s="7">
        <v>2019</v>
      </c>
      <c r="E458" s="46">
        <f t="shared" si="93"/>
        <v>8783.56033</v>
      </c>
      <c r="F458" s="9"/>
      <c r="G458" s="9">
        <f t="shared" si="94"/>
        <v>0</v>
      </c>
      <c r="H458" s="46">
        <v>0</v>
      </c>
      <c r="I458" s="46">
        <v>0</v>
      </c>
      <c r="J458" s="46">
        <f>8729.252+86.622-32.31367</f>
        <v>8783.56033</v>
      </c>
      <c r="K458" s="46">
        <v>0</v>
      </c>
      <c r="L458" s="336" t="s">
        <v>148</v>
      </c>
      <c r="M458" s="691"/>
    </row>
    <row r="459" spans="1:13" s="70" customFormat="1" ht="24.75" customHeight="1">
      <c r="A459" s="682"/>
      <c r="B459" s="679"/>
      <c r="C459" s="679"/>
      <c r="D459" s="7">
        <v>2020</v>
      </c>
      <c r="E459" s="46">
        <f t="shared" si="93"/>
        <v>8976.345</v>
      </c>
      <c r="F459" s="9"/>
      <c r="G459" s="9">
        <f t="shared" si="94"/>
        <v>0</v>
      </c>
      <c r="H459" s="46">
        <v>0</v>
      </c>
      <c r="I459" s="46">
        <v>0</v>
      </c>
      <c r="J459" s="46">
        <v>8976.345</v>
      </c>
      <c r="K459" s="9">
        <v>0</v>
      </c>
      <c r="L459" s="336" t="s">
        <v>148</v>
      </c>
      <c r="M459" s="691"/>
    </row>
    <row r="460" spans="1:13" s="70" customFormat="1" ht="24.75" customHeight="1">
      <c r="A460" s="682"/>
      <c r="B460" s="679"/>
      <c r="C460" s="679"/>
      <c r="D460" s="7">
        <v>2021</v>
      </c>
      <c r="E460" s="46">
        <f t="shared" si="93"/>
        <v>8976.443</v>
      </c>
      <c r="F460" s="9"/>
      <c r="G460" s="9">
        <f t="shared" si="94"/>
        <v>0</v>
      </c>
      <c r="H460" s="46">
        <v>0</v>
      </c>
      <c r="I460" s="46">
        <v>0</v>
      </c>
      <c r="J460" s="46">
        <v>8976.443</v>
      </c>
      <c r="K460" s="9">
        <v>0</v>
      </c>
      <c r="L460" s="336" t="s">
        <v>148</v>
      </c>
      <c r="M460" s="691"/>
    </row>
    <row r="461" spans="1:13" s="70" customFormat="1" ht="24.75" customHeight="1">
      <c r="A461" s="682"/>
      <c r="B461" s="679"/>
      <c r="C461" s="679"/>
      <c r="D461" s="7">
        <v>2022</v>
      </c>
      <c r="E461" s="46">
        <f t="shared" si="93"/>
        <v>8976.443</v>
      </c>
      <c r="F461" s="9"/>
      <c r="G461" s="9">
        <f t="shared" si="94"/>
        <v>0</v>
      </c>
      <c r="H461" s="46">
        <v>0</v>
      </c>
      <c r="I461" s="46">
        <v>0</v>
      </c>
      <c r="J461" s="46">
        <v>8976.443</v>
      </c>
      <c r="K461" s="9">
        <v>0</v>
      </c>
      <c r="L461" s="336" t="s">
        <v>148</v>
      </c>
      <c r="M461" s="691"/>
    </row>
    <row r="462" spans="1:13" s="70" customFormat="1" ht="24.75" customHeight="1" thickBot="1">
      <c r="A462" s="683"/>
      <c r="B462" s="680"/>
      <c r="C462" s="680"/>
      <c r="D462" s="62">
        <v>2023</v>
      </c>
      <c r="E462" s="337">
        <f t="shared" si="93"/>
        <v>9239.575</v>
      </c>
      <c r="F462" s="338"/>
      <c r="G462" s="338">
        <f t="shared" si="94"/>
        <v>0</v>
      </c>
      <c r="H462" s="337">
        <v>0</v>
      </c>
      <c r="I462" s="337">
        <v>0</v>
      </c>
      <c r="J462" s="337">
        <v>9239.575</v>
      </c>
      <c r="K462" s="338">
        <v>0</v>
      </c>
      <c r="L462" s="339" t="s">
        <v>148</v>
      </c>
      <c r="M462" s="692"/>
    </row>
    <row r="463" spans="1:13" s="70" customFormat="1" ht="27" customHeight="1">
      <c r="A463" s="607" t="s">
        <v>18</v>
      </c>
      <c r="B463" s="608"/>
      <c r="C463" s="608"/>
      <c r="D463" s="608"/>
      <c r="E463" s="608"/>
      <c r="F463" s="608"/>
      <c r="G463" s="608"/>
      <c r="H463" s="608"/>
      <c r="I463" s="608"/>
      <c r="J463" s="608"/>
      <c r="K463" s="608"/>
      <c r="L463" s="608"/>
      <c r="M463" s="609"/>
    </row>
    <row r="464" spans="1:13" s="70" customFormat="1" ht="27" customHeight="1">
      <c r="A464" s="610" t="s">
        <v>23</v>
      </c>
      <c r="B464" s="611"/>
      <c r="C464" s="611"/>
      <c r="D464" s="611"/>
      <c r="E464" s="611"/>
      <c r="F464" s="611"/>
      <c r="G464" s="611"/>
      <c r="H464" s="611"/>
      <c r="I464" s="611"/>
      <c r="J464" s="611"/>
      <c r="K464" s="611"/>
      <c r="L464" s="611"/>
      <c r="M464" s="612"/>
    </row>
    <row r="465" spans="1:13" s="70" customFormat="1" ht="27" customHeight="1" thickBot="1">
      <c r="A465" s="613" t="s">
        <v>24</v>
      </c>
      <c r="B465" s="614"/>
      <c r="C465" s="614"/>
      <c r="D465" s="614"/>
      <c r="E465" s="614"/>
      <c r="F465" s="614"/>
      <c r="G465" s="614"/>
      <c r="H465" s="614"/>
      <c r="I465" s="614"/>
      <c r="J465" s="614"/>
      <c r="K465" s="614"/>
      <c r="L465" s="614"/>
      <c r="M465" s="612"/>
    </row>
    <row r="466" spans="1:13" s="70" customFormat="1" ht="24.75" customHeight="1">
      <c r="A466" s="620" t="s">
        <v>89</v>
      </c>
      <c r="B466" s="615" t="s">
        <v>140</v>
      </c>
      <c r="C466" s="616"/>
      <c r="D466" s="59">
        <v>2017</v>
      </c>
      <c r="E466" s="349">
        <f aca="true" t="shared" si="95" ref="E466:E487">F466+G466+J466+K466</f>
        <v>292.4</v>
      </c>
      <c r="F466" s="349">
        <v>292.4</v>
      </c>
      <c r="G466" s="349">
        <f>H466+I466</f>
        <v>0</v>
      </c>
      <c r="H466" s="349"/>
      <c r="I466" s="349">
        <v>0</v>
      </c>
      <c r="J466" s="350">
        <v>0</v>
      </c>
      <c r="K466" s="350">
        <v>0</v>
      </c>
      <c r="L466" s="335" t="s">
        <v>3</v>
      </c>
      <c r="M466" s="690" t="s">
        <v>58</v>
      </c>
    </row>
    <row r="467" spans="1:13" s="70" customFormat="1" ht="24.75" customHeight="1">
      <c r="A467" s="621"/>
      <c r="B467" s="514"/>
      <c r="C467" s="617"/>
      <c r="D467" s="7">
        <v>2018</v>
      </c>
      <c r="E467" s="2">
        <f t="shared" si="95"/>
        <v>233.2</v>
      </c>
      <c r="F467" s="2">
        <v>233.2</v>
      </c>
      <c r="G467" s="2">
        <f aca="true" t="shared" si="96" ref="G467:G485">H467+I467</f>
        <v>0</v>
      </c>
      <c r="H467" s="2"/>
      <c r="I467" s="2">
        <v>0</v>
      </c>
      <c r="J467" s="22">
        <v>0</v>
      </c>
      <c r="K467" s="22">
        <v>0</v>
      </c>
      <c r="L467" s="336" t="s">
        <v>3</v>
      </c>
      <c r="M467" s="691"/>
    </row>
    <row r="468" spans="1:13" s="70" customFormat="1" ht="24.75" customHeight="1">
      <c r="A468" s="621"/>
      <c r="B468" s="514"/>
      <c r="C468" s="617"/>
      <c r="D468" s="7">
        <v>2019</v>
      </c>
      <c r="E468" s="2">
        <f t="shared" si="95"/>
        <v>281.9</v>
      </c>
      <c r="F468" s="2">
        <v>281.9</v>
      </c>
      <c r="G468" s="2">
        <f t="shared" si="96"/>
        <v>0</v>
      </c>
      <c r="H468" s="2"/>
      <c r="I468" s="2">
        <v>0</v>
      </c>
      <c r="J468" s="22">
        <v>0</v>
      </c>
      <c r="K468" s="22">
        <v>0</v>
      </c>
      <c r="L468" s="336" t="s">
        <v>3</v>
      </c>
      <c r="M468" s="691"/>
    </row>
    <row r="469" spans="1:13" s="70" customFormat="1" ht="24.75" customHeight="1">
      <c r="A469" s="621"/>
      <c r="B469" s="514"/>
      <c r="C469" s="617"/>
      <c r="D469" s="7">
        <v>2020</v>
      </c>
      <c r="E469" s="2">
        <f>F469+G469+J469+K469</f>
        <v>216.2</v>
      </c>
      <c r="F469" s="2">
        <v>216.2</v>
      </c>
      <c r="G469" s="2">
        <f>H469+I469</f>
        <v>0</v>
      </c>
      <c r="H469" s="2"/>
      <c r="I469" s="2">
        <v>0</v>
      </c>
      <c r="J469" s="22">
        <v>0</v>
      </c>
      <c r="K469" s="22">
        <v>0</v>
      </c>
      <c r="L469" s="336" t="s">
        <v>3</v>
      </c>
      <c r="M469" s="691"/>
    </row>
    <row r="470" spans="1:13" s="70" customFormat="1" ht="24.75" customHeight="1">
      <c r="A470" s="621"/>
      <c r="B470" s="514"/>
      <c r="C470" s="617"/>
      <c r="D470" s="7">
        <v>2021</v>
      </c>
      <c r="E470" s="2">
        <f>F470+G470+J470+K470</f>
        <v>216.6</v>
      </c>
      <c r="F470" s="2">
        <v>216.6</v>
      </c>
      <c r="G470" s="2">
        <f>H470+I470</f>
        <v>0</v>
      </c>
      <c r="H470" s="2"/>
      <c r="I470" s="2">
        <v>0</v>
      </c>
      <c r="J470" s="22">
        <v>0</v>
      </c>
      <c r="K470" s="22">
        <v>0</v>
      </c>
      <c r="L470" s="336" t="s">
        <v>3</v>
      </c>
      <c r="M470" s="691"/>
    </row>
    <row r="471" spans="1:13" s="70" customFormat="1" ht="24.75" customHeight="1">
      <c r="A471" s="621"/>
      <c r="B471" s="514"/>
      <c r="C471" s="617"/>
      <c r="D471" s="7">
        <v>2022</v>
      </c>
      <c r="E471" s="2">
        <f t="shared" si="95"/>
        <v>216.6</v>
      </c>
      <c r="F471" s="2">
        <v>216.6</v>
      </c>
      <c r="G471" s="2">
        <f t="shared" si="96"/>
        <v>0</v>
      </c>
      <c r="H471" s="2"/>
      <c r="I471" s="2">
        <v>0</v>
      </c>
      <c r="J471" s="22">
        <v>0</v>
      </c>
      <c r="K471" s="22">
        <v>0</v>
      </c>
      <c r="L471" s="336" t="s">
        <v>3</v>
      </c>
      <c r="M471" s="691"/>
    </row>
    <row r="472" spans="1:13" s="70" customFormat="1" ht="24.75" customHeight="1" thickBot="1">
      <c r="A472" s="622"/>
      <c r="B472" s="618"/>
      <c r="C472" s="619"/>
      <c r="D472" s="62">
        <v>2023</v>
      </c>
      <c r="E472" s="256">
        <v>0</v>
      </c>
      <c r="F472" s="256">
        <v>0</v>
      </c>
      <c r="G472" s="256">
        <v>0</v>
      </c>
      <c r="H472" s="256">
        <v>0</v>
      </c>
      <c r="I472" s="256">
        <v>0</v>
      </c>
      <c r="J472" s="351">
        <v>0</v>
      </c>
      <c r="K472" s="351">
        <v>0</v>
      </c>
      <c r="L472" s="339"/>
      <c r="M472" s="692"/>
    </row>
    <row r="473" spans="1:13" s="70" customFormat="1" ht="24.75" customHeight="1">
      <c r="A473" s="620" t="s">
        <v>90</v>
      </c>
      <c r="B473" s="541" t="s">
        <v>141</v>
      </c>
      <c r="C473" s="542"/>
      <c r="D473" s="59">
        <v>2017</v>
      </c>
      <c r="E473" s="349">
        <f t="shared" si="95"/>
        <v>96.8</v>
      </c>
      <c r="F473" s="349">
        <v>0</v>
      </c>
      <c r="G473" s="349">
        <f t="shared" si="96"/>
        <v>96.8</v>
      </c>
      <c r="H473" s="349"/>
      <c r="I473" s="349">
        <v>96.8</v>
      </c>
      <c r="J473" s="350">
        <v>0</v>
      </c>
      <c r="K473" s="350">
        <v>0</v>
      </c>
      <c r="L473" s="335" t="s">
        <v>3</v>
      </c>
      <c r="M473" s="690" t="s">
        <v>59</v>
      </c>
    </row>
    <row r="474" spans="1:13" s="70" customFormat="1" ht="24.75" customHeight="1">
      <c r="A474" s="621"/>
      <c r="B474" s="488"/>
      <c r="C474" s="489"/>
      <c r="D474" s="7">
        <v>2018</v>
      </c>
      <c r="E474" s="2">
        <f t="shared" si="95"/>
        <v>127.3</v>
      </c>
      <c r="F474" s="2">
        <v>0</v>
      </c>
      <c r="G474" s="2">
        <f t="shared" si="96"/>
        <v>127.3</v>
      </c>
      <c r="H474" s="2"/>
      <c r="I474" s="2">
        <v>127.3</v>
      </c>
      <c r="J474" s="22">
        <v>0</v>
      </c>
      <c r="K474" s="22">
        <v>0</v>
      </c>
      <c r="L474" s="336" t="s">
        <v>3</v>
      </c>
      <c r="M474" s="691"/>
    </row>
    <row r="475" spans="1:13" s="70" customFormat="1" ht="24.75" customHeight="1">
      <c r="A475" s="621"/>
      <c r="B475" s="488"/>
      <c r="C475" s="489"/>
      <c r="D475" s="7">
        <v>2019</v>
      </c>
      <c r="E475" s="2">
        <f t="shared" si="95"/>
        <v>132.7</v>
      </c>
      <c r="F475" s="2">
        <v>0</v>
      </c>
      <c r="G475" s="2">
        <f t="shared" si="96"/>
        <v>132.7</v>
      </c>
      <c r="H475" s="2"/>
      <c r="I475" s="2">
        <v>132.7</v>
      </c>
      <c r="J475" s="22">
        <v>0</v>
      </c>
      <c r="K475" s="22">
        <v>0</v>
      </c>
      <c r="L475" s="336" t="s">
        <v>3</v>
      </c>
      <c r="M475" s="691"/>
    </row>
    <row r="476" spans="1:13" s="70" customFormat="1" ht="24.75" customHeight="1">
      <c r="A476" s="621"/>
      <c r="B476" s="488"/>
      <c r="C476" s="489"/>
      <c r="D476" s="7">
        <v>2020</v>
      </c>
      <c r="E476" s="2">
        <f>F476+G476+J476+K476</f>
        <v>134.4</v>
      </c>
      <c r="F476" s="2">
        <v>134.4</v>
      </c>
      <c r="G476" s="2">
        <f>H476+I476</f>
        <v>0</v>
      </c>
      <c r="H476" s="2"/>
      <c r="I476" s="2">
        <v>0</v>
      </c>
      <c r="J476" s="22">
        <v>0</v>
      </c>
      <c r="K476" s="22">
        <v>0</v>
      </c>
      <c r="L476" s="336" t="s">
        <v>3</v>
      </c>
      <c r="M476" s="691"/>
    </row>
    <row r="477" spans="1:13" s="70" customFormat="1" ht="24.75" customHeight="1">
      <c r="A477" s="621"/>
      <c r="B477" s="488"/>
      <c r="C477" s="489"/>
      <c r="D477" s="7">
        <v>2021</v>
      </c>
      <c r="E477" s="2">
        <f>F477+G477+J477+K477</f>
        <v>134.7</v>
      </c>
      <c r="F477" s="2">
        <v>134.7</v>
      </c>
      <c r="G477" s="2">
        <f>H477+I477</f>
        <v>0</v>
      </c>
      <c r="H477" s="2"/>
      <c r="I477" s="2">
        <v>0</v>
      </c>
      <c r="J477" s="22">
        <v>0</v>
      </c>
      <c r="K477" s="22">
        <v>0</v>
      </c>
      <c r="L477" s="336" t="s">
        <v>3</v>
      </c>
      <c r="M477" s="691"/>
    </row>
    <row r="478" spans="1:13" s="70" customFormat="1" ht="24.75" customHeight="1">
      <c r="A478" s="621"/>
      <c r="B478" s="488"/>
      <c r="C478" s="489"/>
      <c r="D478" s="7">
        <v>2022</v>
      </c>
      <c r="E478" s="2">
        <f t="shared" si="95"/>
        <v>134.7</v>
      </c>
      <c r="F478" s="2">
        <v>134.7</v>
      </c>
      <c r="G478" s="2">
        <f t="shared" si="96"/>
        <v>0</v>
      </c>
      <c r="H478" s="2"/>
      <c r="I478" s="2">
        <v>0</v>
      </c>
      <c r="J478" s="22">
        <v>0</v>
      </c>
      <c r="K478" s="22">
        <v>0</v>
      </c>
      <c r="L478" s="336" t="s">
        <v>3</v>
      </c>
      <c r="M478" s="691"/>
    </row>
    <row r="479" spans="1:13" s="70" customFormat="1" ht="24.75" customHeight="1" thickBot="1">
      <c r="A479" s="622"/>
      <c r="B479" s="543"/>
      <c r="C479" s="544"/>
      <c r="D479" s="62">
        <v>2023</v>
      </c>
      <c r="E479" s="256"/>
      <c r="F479" s="256"/>
      <c r="G479" s="256"/>
      <c r="H479" s="256"/>
      <c r="I479" s="256"/>
      <c r="J479" s="351"/>
      <c r="K479" s="351"/>
      <c r="L479" s="339"/>
      <c r="M479" s="692"/>
    </row>
    <row r="480" spans="1:13" s="70" customFormat="1" ht="24.75" customHeight="1">
      <c r="A480" s="620" t="s">
        <v>91</v>
      </c>
      <c r="B480" s="541" t="s">
        <v>142</v>
      </c>
      <c r="C480" s="542"/>
      <c r="D480" s="59">
        <v>2017</v>
      </c>
      <c r="E480" s="349">
        <f t="shared" si="95"/>
        <v>5391.1</v>
      </c>
      <c r="F480" s="349">
        <v>5391.1</v>
      </c>
      <c r="G480" s="349">
        <f t="shared" si="96"/>
        <v>0</v>
      </c>
      <c r="H480" s="349"/>
      <c r="I480" s="349">
        <v>0</v>
      </c>
      <c r="J480" s="350">
        <v>0</v>
      </c>
      <c r="K480" s="350">
        <v>0</v>
      </c>
      <c r="L480" s="335" t="s">
        <v>3</v>
      </c>
      <c r="M480" s="712" t="s">
        <v>60</v>
      </c>
    </row>
    <row r="481" spans="1:13" s="70" customFormat="1" ht="24.75" customHeight="1">
      <c r="A481" s="621"/>
      <c r="B481" s="488"/>
      <c r="C481" s="489"/>
      <c r="D481" s="7">
        <v>2018</v>
      </c>
      <c r="E481" s="2">
        <f t="shared" si="95"/>
        <v>5870.4</v>
      </c>
      <c r="F481" s="2">
        <v>5870.4</v>
      </c>
      <c r="G481" s="2">
        <f t="shared" si="96"/>
        <v>0</v>
      </c>
      <c r="H481" s="2"/>
      <c r="I481" s="2">
        <v>0</v>
      </c>
      <c r="J481" s="22">
        <v>0</v>
      </c>
      <c r="K481" s="22">
        <v>0</v>
      </c>
      <c r="L481" s="336" t="s">
        <v>3</v>
      </c>
      <c r="M481" s="713"/>
    </row>
    <row r="482" spans="1:13" s="70" customFormat="1" ht="24.75" customHeight="1">
      <c r="A482" s="621"/>
      <c r="B482" s="488"/>
      <c r="C482" s="489"/>
      <c r="D482" s="7">
        <v>2019</v>
      </c>
      <c r="E482" s="2">
        <f t="shared" si="95"/>
        <v>6295.7</v>
      </c>
      <c r="F482" s="2">
        <f>5735.3+560.4</f>
        <v>6295.7</v>
      </c>
      <c r="G482" s="2">
        <f t="shared" si="96"/>
        <v>0</v>
      </c>
      <c r="H482" s="2"/>
      <c r="I482" s="2">
        <v>0</v>
      </c>
      <c r="J482" s="22">
        <v>0</v>
      </c>
      <c r="K482" s="22">
        <v>0</v>
      </c>
      <c r="L482" s="336" t="s">
        <v>3</v>
      </c>
      <c r="M482" s="713"/>
    </row>
    <row r="483" spans="1:13" s="70" customFormat="1" ht="24.75" customHeight="1">
      <c r="A483" s="621"/>
      <c r="B483" s="488"/>
      <c r="C483" s="489"/>
      <c r="D483" s="7">
        <v>2020</v>
      </c>
      <c r="E483" s="2">
        <f>F483+G483+J483+K483</f>
        <v>5046.599999999999</v>
      </c>
      <c r="F483" s="2">
        <f>6203.9-1157.3</f>
        <v>5046.599999999999</v>
      </c>
      <c r="G483" s="2">
        <f>H483+I483</f>
        <v>0</v>
      </c>
      <c r="H483" s="2"/>
      <c r="I483" s="2">
        <v>0</v>
      </c>
      <c r="J483" s="22">
        <v>0</v>
      </c>
      <c r="K483" s="22">
        <v>0</v>
      </c>
      <c r="L483" s="336" t="s">
        <v>3</v>
      </c>
      <c r="M483" s="713"/>
    </row>
    <row r="484" spans="1:13" s="70" customFormat="1" ht="24.75" customHeight="1">
      <c r="A484" s="621"/>
      <c r="B484" s="488"/>
      <c r="C484" s="489"/>
      <c r="D484" s="55">
        <v>2021</v>
      </c>
      <c r="E484" s="56">
        <f>F484+G484+J484+K484</f>
        <v>6216.1</v>
      </c>
      <c r="F484" s="56">
        <v>6216.1</v>
      </c>
      <c r="G484" s="56">
        <f>H484+I484</f>
        <v>0</v>
      </c>
      <c r="H484" s="56"/>
      <c r="I484" s="56">
        <v>0</v>
      </c>
      <c r="J484" s="57">
        <v>0</v>
      </c>
      <c r="K484" s="57">
        <v>0</v>
      </c>
      <c r="L484" s="352" t="s">
        <v>3</v>
      </c>
      <c r="M484" s="713"/>
    </row>
    <row r="485" spans="1:13" s="70" customFormat="1" ht="24.75" customHeight="1">
      <c r="A485" s="621"/>
      <c r="B485" s="488"/>
      <c r="C485" s="489"/>
      <c r="D485" s="7">
        <v>2022</v>
      </c>
      <c r="E485" s="2">
        <f t="shared" si="95"/>
        <v>6216.1</v>
      </c>
      <c r="F485" s="2">
        <v>6216.1</v>
      </c>
      <c r="G485" s="2">
        <f t="shared" si="96"/>
        <v>0</v>
      </c>
      <c r="H485" s="2"/>
      <c r="I485" s="2">
        <v>0</v>
      </c>
      <c r="J485" s="22">
        <v>0</v>
      </c>
      <c r="K485" s="22">
        <v>0</v>
      </c>
      <c r="L485" s="336" t="s">
        <v>3</v>
      </c>
      <c r="M485" s="713"/>
    </row>
    <row r="486" spans="1:13" s="70" customFormat="1" ht="24.75" customHeight="1" thickBot="1">
      <c r="A486" s="622"/>
      <c r="B486" s="543"/>
      <c r="C486" s="544"/>
      <c r="D486" s="353">
        <v>2023</v>
      </c>
      <c r="E486" s="295"/>
      <c r="F486" s="295"/>
      <c r="G486" s="295"/>
      <c r="H486" s="295"/>
      <c r="I486" s="295"/>
      <c r="J486" s="354"/>
      <c r="K486" s="354"/>
      <c r="L486" s="355"/>
      <c r="M486" s="714"/>
    </row>
    <row r="487" spans="1:13" s="70" customFormat="1" ht="30.75" customHeight="1">
      <c r="A487" s="480"/>
      <c r="B487" s="687" t="s">
        <v>33</v>
      </c>
      <c r="C487" s="688"/>
      <c r="D487" s="73">
        <v>2017</v>
      </c>
      <c r="E487" s="65">
        <f t="shared" si="95"/>
        <v>5780.3</v>
      </c>
      <c r="F487" s="65">
        <f aca="true" t="shared" si="97" ref="F487:F492">F466+F473+F480</f>
        <v>5683.5</v>
      </c>
      <c r="G487" s="65">
        <f>H487+I487</f>
        <v>96.8</v>
      </c>
      <c r="H487" s="65">
        <f>H466+H473+H480</f>
        <v>0</v>
      </c>
      <c r="I487" s="65">
        <f>I466+I473+I480</f>
        <v>96.8</v>
      </c>
      <c r="J487" s="65">
        <f>J466+J473+J480</f>
        <v>0</v>
      </c>
      <c r="K487" s="358">
        <f>K466+K473+K480</f>
        <v>0</v>
      </c>
      <c r="L487" s="706"/>
      <c r="M487" s="706"/>
    </row>
    <row r="488" spans="1:13" s="70" customFormat="1" ht="30.75" customHeight="1">
      <c r="A488" s="501"/>
      <c r="B488" s="687"/>
      <c r="C488" s="688"/>
      <c r="D488" s="7">
        <v>2018</v>
      </c>
      <c r="E488" s="10">
        <f>F488+G488+J488+K488</f>
        <v>6230.9</v>
      </c>
      <c r="F488" s="10">
        <f t="shared" si="97"/>
        <v>6103.599999999999</v>
      </c>
      <c r="G488" s="10">
        <f>H488+I488</f>
        <v>127.3</v>
      </c>
      <c r="H488" s="10">
        <f aca="true" t="shared" si="98" ref="H488:I492">H467+H474+H481</f>
        <v>0</v>
      </c>
      <c r="I488" s="10">
        <f t="shared" si="98"/>
        <v>127.3</v>
      </c>
      <c r="J488" s="10">
        <v>0</v>
      </c>
      <c r="K488" s="378">
        <v>0</v>
      </c>
      <c r="L488" s="707"/>
      <c r="M488" s="707"/>
    </row>
    <row r="489" spans="1:13" s="70" customFormat="1" ht="30.75" customHeight="1">
      <c r="A489" s="501"/>
      <c r="B489" s="687"/>
      <c r="C489" s="688"/>
      <c r="D489" s="7">
        <v>2019</v>
      </c>
      <c r="E489" s="10">
        <f>E468+E475+E482</f>
        <v>6710.3</v>
      </c>
      <c r="F489" s="10">
        <f t="shared" si="97"/>
        <v>6577.599999999999</v>
      </c>
      <c r="G489" s="10">
        <f>G468+G475+G482</f>
        <v>132.7</v>
      </c>
      <c r="H489" s="10">
        <f t="shared" si="98"/>
        <v>0</v>
      </c>
      <c r="I489" s="10">
        <f t="shared" si="98"/>
        <v>132.7</v>
      </c>
      <c r="J489" s="10">
        <f aca="true" t="shared" si="99" ref="J489:K492">J468+J475+J482</f>
        <v>0</v>
      </c>
      <c r="K489" s="378">
        <f t="shared" si="99"/>
        <v>0</v>
      </c>
      <c r="L489" s="707"/>
      <c r="M489" s="707"/>
    </row>
    <row r="490" spans="1:13" s="70" customFormat="1" ht="30.75" customHeight="1">
      <c r="A490" s="501"/>
      <c r="B490" s="687"/>
      <c r="C490" s="688"/>
      <c r="D490" s="7">
        <v>2020</v>
      </c>
      <c r="E490" s="10">
        <f>E469+E476+E483</f>
        <v>5397.2</v>
      </c>
      <c r="F490" s="10">
        <f t="shared" si="97"/>
        <v>5397.2</v>
      </c>
      <c r="G490" s="10">
        <f>G469+G476+G483</f>
        <v>0</v>
      </c>
      <c r="H490" s="10">
        <f t="shared" si="98"/>
        <v>0</v>
      </c>
      <c r="I490" s="10">
        <f t="shared" si="98"/>
        <v>0</v>
      </c>
      <c r="J490" s="10">
        <f t="shared" si="99"/>
        <v>0</v>
      </c>
      <c r="K490" s="378">
        <f t="shared" si="99"/>
        <v>0</v>
      </c>
      <c r="L490" s="707"/>
      <c r="M490" s="707"/>
    </row>
    <row r="491" spans="1:13" s="70" customFormat="1" ht="30.75" customHeight="1" thickBot="1">
      <c r="A491" s="501"/>
      <c r="B491" s="687"/>
      <c r="C491" s="688"/>
      <c r="D491" s="62">
        <v>2021</v>
      </c>
      <c r="E491" s="63">
        <f>E470+E477+E484</f>
        <v>6567.400000000001</v>
      </c>
      <c r="F491" s="63">
        <f t="shared" si="97"/>
        <v>6567.400000000001</v>
      </c>
      <c r="G491" s="63">
        <f>G470+G477+G484</f>
        <v>0</v>
      </c>
      <c r="H491" s="63">
        <f t="shared" si="98"/>
        <v>0</v>
      </c>
      <c r="I491" s="63">
        <f t="shared" si="98"/>
        <v>0</v>
      </c>
      <c r="J491" s="63">
        <f t="shared" si="99"/>
        <v>0</v>
      </c>
      <c r="K491" s="379">
        <f t="shared" si="99"/>
        <v>0</v>
      </c>
      <c r="L491" s="707"/>
      <c r="M491" s="707"/>
    </row>
    <row r="492" spans="1:13" s="70" customFormat="1" ht="30.75" customHeight="1" thickBot="1">
      <c r="A492" s="501"/>
      <c r="B492" s="687"/>
      <c r="C492" s="688"/>
      <c r="D492" s="62">
        <v>2022</v>
      </c>
      <c r="E492" s="63">
        <f>E471+E478+E485</f>
        <v>6567.400000000001</v>
      </c>
      <c r="F492" s="63">
        <f t="shared" si="97"/>
        <v>6567.400000000001</v>
      </c>
      <c r="G492" s="63">
        <f>G471+G478+G485</f>
        <v>0</v>
      </c>
      <c r="H492" s="63">
        <f t="shared" si="98"/>
        <v>0</v>
      </c>
      <c r="I492" s="63">
        <f t="shared" si="98"/>
        <v>0</v>
      </c>
      <c r="J492" s="63">
        <f t="shared" si="99"/>
        <v>0</v>
      </c>
      <c r="K492" s="379">
        <f t="shared" si="99"/>
        <v>0</v>
      </c>
      <c r="L492" s="707"/>
      <c r="M492" s="707"/>
    </row>
    <row r="493" spans="1:13" s="70" customFormat="1" ht="30.75" customHeight="1" thickBot="1">
      <c r="A493" s="501"/>
      <c r="B493" s="689"/>
      <c r="C493" s="689"/>
      <c r="D493" s="154">
        <v>2023</v>
      </c>
      <c r="E493" s="123">
        <f aca="true" t="shared" si="100" ref="E493:K493">E486+E479+E472</f>
        <v>0</v>
      </c>
      <c r="F493" s="123">
        <f t="shared" si="100"/>
        <v>0</v>
      </c>
      <c r="G493" s="123">
        <f t="shared" si="100"/>
        <v>0</v>
      </c>
      <c r="H493" s="123">
        <f t="shared" si="100"/>
        <v>0</v>
      </c>
      <c r="I493" s="123">
        <f t="shared" si="100"/>
        <v>0</v>
      </c>
      <c r="J493" s="123">
        <f t="shared" si="100"/>
        <v>0</v>
      </c>
      <c r="K493" s="380">
        <f t="shared" si="100"/>
        <v>0</v>
      </c>
      <c r="L493" s="708"/>
      <c r="M493" s="708"/>
    </row>
    <row r="494" spans="1:13" s="70" customFormat="1" ht="30.75" customHeight="1" thickBot="1">
      <c r="A494" s="305"/>
      <c r="B494" s="605"/>
      <c r="C494" s="606"/>
      <c r="D494" s="306"/>
      <c r="E494" s="141"/>
      <c r="F494" s="141"/>
      <c r="G494" s="170"/>
      <c r="H494" s="141"/>
      <c r="I494" s="141"/>
      <c r="J494" s="141"/>
      <c r="K494" s="307"/>
      <c r="L494" s="376"/>
      <c r="M494" s="377"/>
    </row>
    <row r="495" spans="1:13" s="70" customFormat="1" ht="49.5" customHeight="1">
      <c r="A495" s="696"/>
      <c r="B495" s="693" t="s">
        <v>27</v>
      </c>
      <c r="C495" s="693"/>
      <c r="D495" s="171" t="s">
        <v>112</v>
      </c>
      <c r="E495" s="164">
        <f>SUM(E496:E514)</f>
        <v>1709897.4162399997</v>
      </c>
      <c r="F495" s="164">
        <f aca="true" t="shared" si="101" ref="F495:K495">SUM(F496:F514)</f>
        <v>886062.7999999998</v>
      </c>
      <c r="G495" s="164">
        <f t="shared" si="101"/>
        <v>24609.334</v>
      </c>
      <c r="H495" s="164">
        <f t="shared" si="101"/>
        <v>10323.2</v>
      </c>
      <c r="I495" s="164">
        <f t="shared" si="101"/>
        <v>14286.134</v>
      </c>
      <c r="J495" s="164">
        <f>J496+J497+J498+J499+J500+J501+J514</f>
        <v>799225.28224</v>
      </c>
      <c r="K495" s="244">
        <f t="shared" si="101"/>
        <v>0</v>
      </c>
      <c r="L495" s="709"/>
      <c r="M495" s="706"/>
    </row>
    <row r="496" spans="1:13" s="70" customFormat="1" ht="33" customHeight="1">
      <c r="A496" s="697"/>
      <c r="B496" s="694"/>
      <c r="C496" s="694"/>
      <c r="D496" s="98">
        <v>2017</v>
      </c>
      <c r="E496" s="24">
        <f>F496+G496+J496+K496</f>
        <v>259771.653</v>
      </c>
      <c r="F496" s="24">
        <f aca="true" t="shared" si="102" ref="F496:K496">F227+F352+F446+F456+F487</f>
        <v>130298.7</v>
      </c>
      <c r="G496" s="24">
        <f t="shared" si="102"/>
        <v>1029</v>
      </c>
      <c r="H496" s="24">
        <f t="shared" si="102"/>
        <v>0</v>
      </c>
      <c r="I496" s="24">
        <f t="shared" si="102"/>
        <v>1029</v>
      </c>
      <c r="J496" s="24">
        <f t="shared" si="102"/>
        <v>128443.953</v>
      </c>
      <c r="K496" s="363">
        <f t="shared" si="102"/>
        <v>0</v>
      </c>
      <c r="L496" s="710"/>
      <c r="M496" s="707"/>
    </row>
    <row r="497" spans="1:13" s="70" customFormat="1" ht="30.75" customHeight="1">
      <c r="A497" s="697"/>
      <c r="B497" s="694"/>
      <c r="C497" s="694"/>
      <c r="D497" s="98">
        <v>2018</v>
      </c>
      <c r="E497" s="24">
        <f>F497+G497+J497+K497</f>
        <v>256780.11129000003</v>
      </c>
      <c r="F497" s="24">
        <f aca="true" t="shared" si="103" ref="F497:H499">F228+F353+F447+F457+F488</f>
        <v>143448.1</v>
      </c>
      <c r="G497" s="24">
        <f t="shared" si="103"/>
        <v>1296.482</v>
      </c>
      <c r="H497" s="24">
        <f t="shared" si="103"/>
        <v>0</v>
      </c>
      <c r="I497" s="24">
        <f>I488+I457+I447+I353+I228</f>
        <v>1296.4820000000002</v>
      </c>
      <c r="J497" s="24">
        <f>J488+J457+J447+J353+J228</f>
        <v>112035.52929000002</v>
      </c>
      <c r="K497" s="363">
        <f>K228+K353+K447+K457+K488</f>
        <v>0</v>
      </c>
      <c r="L497" s="710"/>
      <c r="M497" s="707"/>
    </row>
    <row r="498" spans="1:13" s="70" customFormat="1" ht="30.75" customHeight="1">
      <c r="A498" s="697"/>
      <c r="B498" s="694"/>
      <c r="C498" s="694"/>
      <c r="D498" s="98">
        <v>2019</v>
      </c>
      <c r="E498" s="24">
        <f>E229+E354+E448+E458+E489</f>
        <v>274699.70717</v>
      </c>
      <c r="F498" s="24">
        <f t="shared" si="103"/>
        <v>157111.4</v>
      </c>
      <c r="G498" s="24">
        <f t="shared" si="103"/>
        <v>3375.852</v>
      </c>
      <c r="H498" s="24">
        <f t="shared" si="103"/>
        <v>0</v>
      </c>
      <c r="I498" s="24">
        <f aca="true" t="shared" si="104" ref="I498:J501">I229+I354+I448+I458+I489</f>
        <v>3375.852</v>
      </c>
      <c r="J498" s="24">
        <f t="shared" si="104"/>
        <v>114212.45517000003</v>
      </c>
      <c r="K498" s="363">
        <f>K229+K354+K448+K458+K489</f>
        <v>0</v>
      </c>
      <c r="L498" s="710"/>
      <c r="M498" s="707"/>
    </row>
    <row r="499" spans="1:13" s="70" customFormat="1" ht="30.75" customHeight="1">
      <c r="A499" s="697"/>
      <c r="B499" s="694"/>
      <c r="C499" s="694"/>
      <c r="D499" s="98">
        <v>2020</v>
      </c>
      <c r="E499" s="24">
        <f>E230+E355+E449+E459+E490</f>
        <v>273669.38078</v>
      </c>
      <c r="F499" s="24">
        <f t="shared" si="103"/>
        <v>155004.2</v>
      </c>
      <c r="G499" s="24">
        <f t="shared" si="103"/>
        <v>7019.299999999999</v>
      </c>
      <c r="H499" s="24">
        <f t="shared" si="103"/>
        <v>3073.8</v>
      </c>
      <c r="I499" s="24">
        <f t="shared" si="104"/>
        <v>3945.5</v>
      </c>
      <c r="J499" s="24">
        <f t="shared" si="104"/>
        <v>111645.88078</v>
      </c>
      <c r="K499" s="363">
        <f>K230+K355+K449+K459+K490</f>
        <v>0</v>
      </c>
      <c r="L499" s="710"/>
      <c r="M499" s="707"/>
    </row>
    <row r="500" spans="1:13" s="70" customFormat="1" ht="30.75" customHeight="1">
      <c r="A500" s="697"/>
      <c r="B500" s="694"/>
      <c r="C500" s="694"/>
      <c r="D500" s="98">
        <v>2021</v>
      </c>
      <c r="E500" s="24">
        <f>F500+G500+J500+K500</f>
        <v>277364.269</v>
      </c>
      <c r="F500" s="24">
        <f>F231+F356+F450+F460+F491</f>
        <v>150100.19999999998</v>
      </c>
      <c r="G500" s="24">
        <f>H500+I500</f>
        <v>8070.299999999999</v>
      </c>
      <c r="H500" s="24">
        <f>H231+H356+H450+H460+H491</f>
        <v>6413.4</v>
      </c>
      <c r="I500" s="24">
        <f t="shared" si="104"/>
        <v>1656.9</v>
      </c>
      <c r="J500" s="24">
        <f t="shared" si="104"/>
        <v>119193.769</v>
      </c>
      <c r="K500" s="363">
        <f>K231+K356+K450+K460+K491</f>
        <v>0</v>
      </c>
      <c r="L500" s="710"/>
      <c r="M500" s="707"/>
    </row>
    <row r="501" spans="1:13" s="70" customFormat="1" ht="27" customHeight="1" thickBot="1">
      <c r="A501" s="697"/>
      <c r="B501" s="694"/>
      <c r="C501" s="694"/>
      <c r="D501" s="308">
        <v>2022</v>
      </c>
      <c r="E501" s="166">
        <f>F501+G501+J501+K501</f>
        <v>269757.162</v>
      </c>
      <c r="F501" s="166">
        <f>F232+F357+F451+F461+F492</f>
        <v>150100.19999999998</v>
      </c>
      <c r="G501" s="166">
        <f>H501+I501</f>
        <v>2384.2</v>
      </c>
      <c r="H501" s="166">
        <f>H232+H357+H451+H461+H492</f>
        <v>836</v>
      </c>
      <c r="I501" s="166">
        <f t="shared" si="104"/>
        <v>1548.2</v>
      </c>
      <c r="J501" s="166">
        <f t="shared" si="104"/>
        <v>117272.762</v>
      </c>
      <c r="K501" s="364">
        <f>K232+K357+K451+K461+K492</f>
        <v>0</v>
      </c>
      <c r="L501" s="710"/>
      <c r="M501" s="707"/>
    </row>
    <row r="502" spans="1:13" ht="25.5" customHeight="1" hidden="1">
      <c r="A502" s="697"/>
      <c r="B502" s="694"/>
      <c r="C502" s="694"/>
      <c r="D502" s="309"/>
      <c r="E502" s="340"/>
      <c r="F502" s="341"/>
      <c r="G502" s="341"/>
      <c r="H502" s="342"/>
      <c r="I502" s="343"/>
      <c r="J502" s="166">
        <f aca="true" t="shared" si="105" ref="J502:J513">J233+J358+J452+J462+J493</f>
        <v>96420.933</v>
      </c>
      <c r="K502" s="342"/>
      <c r="L502" s="710"/>
      <c r="M502" s="707"/>
    </row>
    <row r="503" spans="1:13" ht="25.5" customHeight="1" hidden="1">
      <c r="A503" s="697"/>
      <c r="B503" s="694"/>
      <c r="C503" s="694"/>
      <c r="D503" s="309"/>
      <c r="E503" s="340"/>
      <c r="F503" s="344"/>
      <c r="G503" s="344"/>
      <c r="H503" s="343"/>
      <c r="I503" s="345"/>
      <c r="J503" s="166">
        <f t="shared" si="105"/>
        <v>0</v>
      </c>
      <c r="K503" s="343"/>
      <c r="L503" s="710"/>
      <c r="M503" s="707"/>
    </row>
    <row r="504" spans="1:13" ht="15.75" customHeight="1" hidden="1">
      <c r="A504" s="697"/>
      <c r="B504" s="694"/>
      <c r="C504" s="694"/>
      <c r="D504" s="309"/>
      <c r="E504" s="340"/>
      <c r="F504" s="344"/>
      <c r="G504" s="344"/>
      <c r="H504" s="343"/>
      <c r="I504" s="343"/>
      <c r="J504" s="166">
        <f t="shared" si="105"/>
        <v>799225.28224</v>
      </c>
      <c r="K504" s="343"/>
      <c r="L504" s="710"/>
      <c r="M504" s="707"/>
    </row>
    <row r="505" spans="1:13" ht="24.75" customHeight="1" hidden="1">
      <c r="A505" s="697"/>
      <c r="B505" s="694"/>
      <c r="C505" s="694"/>
      <c r="D505" s="309"/>
      <c r="E505" s="340"/>
      <c r="F505" s="344"/>
      <c r="G505" s="344"/>
      <c r="H505" s="343"/>
      <c r="I505" s="346"/>
      <c r="J505" s="166">
        <f t="shared" si="105"/>
        <v>128443.953</v>
      </c>
      <c r="K505" s="343"/>
      <c r="L505" s="710"/>
      <c r="M505" s="707"/>
    </row>
    <row r="506" spans="1:13" ht="13.5" customHeight="1" hidden="1">
      <c r="A506" s="697"/>
      <c r="B506" s="694"/>
      <c r="C506" s="694"/>
      <c r="D506" s="309"/>
      <c r="E506" s="340"/>
      <c r="F506" s="344"/>
      <c r="G506" s="344"/>
      <c r="H506" s="343"/>
      <c r="I506" s="343"/>
      <c r="J506" s="166">
        <f t="shared" si="105"/>
        <v>194534.05629000004</v>
      </c>
      <c r="K506" s="343"/>
      <c r="L506" s="710"/>
      <c r="M506" s="707"/>
    </row>
    <row r="507" spans="1:13" ht="27.75" customHeight="1" hidden="1">
      <c r="A507" s="697"/>
      <c r="B507" s="694"/>
      <c r="C507" s="694"/>
      <c r="D507" s="309"/>
      <c r="E507" s="340"/>
      <c r="F507" s="344"/>
      <c r="G507" s="344"/>
      <c r="H507" s="343"/>
      <c r="I507" s="343"/>
      <c r="J507" s="166">
        <f t="shared" si="105"/>
        <v>148066.61367000002</v>
      </c>
      <c r="K507" s="343"/>
      <c r="L507" s="710"/>
      <c r="M507" s="707"/>
    </row>
    <row r="508" spans="1:13" ht="18.75" customHeight="1" hidden="1">
      <c r="A508" s="697"/>
      <c r="B508" s="694"/>
      <c r="C508" s="694"/>
      <c r="D508" s="309"/>
      <c r="E508" s="340"/>
      <c r="F508" s="344"/>
      <c r="G508" s="344"/>
      <c r="H508" s="343"/>
      <c r="I508" s="343"/>
      <c r="J508" s="166">
        <f t="shared" si="105"/>
        <v>151381.68211</v>
      </c>
      <c r="K508" s="343"/>
      <c r="L508" s="710"/>
      <c r="M508" s="707"/>
    </row>
    <row r="509" spans="1:13" ht="18.75" customHeight="1" hidden="1">
      <c r="A509" s="697"/>
      <c r="B509" s="694"/>
      <c r="C509" s="694"/>
      <c r="D509" s="309"/>
      <c r="E509" s="340"/>
      <c r="F509" s="344"/>
      <c r="G509" s="344"/>
      <c r="H509" s="343"/>
      <c r="I509" s="343"/>
      <c r="J509" s="166">
        <f t="shared" si="105"/>
        <v>169939.839</v>
      </c>
      <c r="K509" s="343"/>
      <c r="L509" s="710"/>
      <c r="M509" s="707"/>
    </row>
    <row r="510" spans="1:13" ht="27" customHeight="1" hidden="1">
      <c r="A510" s="697"/>
      <c r="B510" s="694"/>
      <c r="C510" s="694"/>
      <c r="D510" s="309"/>
      <c r="E510" s="340"/>
      <c r="F510" s="344"/>
      <c r="G510" s="344"/>
      <c r="H510" s="343"/>
      <c r="I510" s="343"/>
      <c r="J510" s="166">
        <f t="shared" si="105"/>
        <v>127849.11412</v>
      </c>
      <c r="K510" s="343"/>
      <c r="L510" s="710"/>
      <c r="M510" s="707"/>
    </row>
    <row r="511" spans="1:13" ht="22.5" customHeight="1" hidden="1">
      <c r="A511" s="697"/>
      <c r="B511" s="694"/>
      <c r="C511" s="694"/>
      <c r="D511" s="309"/>
      <c r="E511" s="340"/>
      <c r="F511" s="347"/>
      <c r="G511" s="347"/>
      <c r="H511" s="348"/>
      <c r="I511" s="311"/>
      <c r="J511" s="166">
        <f t="shared" si="105"/>
        <v>115652.08118000001</v>
      </c>
      <c r="K511" s="311"/>
      <c r="L511" s="710"/>
      <c r="M511" s="707"/>
    </row>
    <row r="512" spans="1:13" ht="18" customHeight="1" hidden="1">
      <c r="A512" s="697"/>
      <c r="B512" s="694"/>
      <c r="C512" s="694"/>
      <c r="D512" s="310"/>
      <c r="E512" s="340"/>
      <c r="F512" s="311"/>
      <c r="G512" s="311"/>
      <c r="H512" s="311"/>
      <c r="I512" s="311"/>
      <c r="J512" s="166">
        <f t="shared" si="105"/>
        <v>31379.380119999998</v>
      </c>
      <c r="K512" s="311"/>
      <c r="L512" s="710"/>
      <c r="M512" s="707"/>
    </row>
    <row r="513" spans="1:13" ht="22.5" customHeight="1" hidden="1">
      <c r="A513" s="697"/>
      <c r="B513" s="694"/>
      <c r="C513" s="694"/>
      <c r="D513" s="311"/>
      <c r="E513" s="340"/>
      <c r="F513" s="311"/>
      <c r="G513" s="311"/>
      <c r="H513" s="311"/>
      <c r="I513" s="311"/>
      <c r="J513" s="166">
        <f t="shared" si="105"/>
        <v>811088.56724</v>
      </c>
      <c r="K513" s="311"/>
      <c r="L513" s="710"/>
      <c r="M513" s="707"/>
    </row>
    <row r="514" spans="1:13" ht="27" customHeight="1" thickBot="1">
      <c r="A514" s="698"/>
      <c r="B514" s="695"/>
      <c r="C514" s="695"/>
      <c r="D514" s="312">
        <v>2023</v>
      </c>
      <c r="E514" s="166">
        <f aca="true" t="shared" si="106" ref="E514:K514">E493+E462+E452+E358+E233</f>
        <v>97855.133</v>
      </c>
      <c r="F514" s="166">
        <f t="shared" si="106"/>
        <v>0</v>
      </c>
      <c r="G514" s="166">
        <f t="shared" si="106"/>
        <v>1434.2</v>
      </c>
      <c r="H514" s="166">
        <f t="shared" si="106"/>
        <v>0</v>
      </c>
      <c r="I514" s="166">
        <f t="shared" si="106"/>
        <v>1434.2</v>
      </c>
      <c r="J514" s="166">
        <f t="shared" si="106"/>
        <v>96420.933</v>
      </c>
      <c r="K514" s="364">
        <f t="shared" si="106"/>
        <v>0</v>
      </c>
      <c r="L514" s="711"/>
      <c r="M514" s="708"/>
    </row>
    <row r="515" spans="2:9" ht="21" customHeight="1">
      <c r="B515" s="71"/>
      <c r="C515" s="195"/>
      <c r="E515" s="198"/>
      <c r="F515" s="199"/>
      <c r="G515" s="199"/>
      <c r="I515" s="200"/>
    </row>
    <row r="516" spans="2:9" ht="21" customHeight="1">
      <c r="B516" s="71"/>
      <c r="C516" s="195"/>
      <c r="D516" s="196"/>
      <c r="E516" s="198"/>
      <c r="F516" s="201"/>
      <c r="G516" s="201"/>
      <c r="I516" s="202"/>
    </row>
    <row r="517" spans="1:13" s="70" customFormat="1" ht="21" customHeight="1">
      <c r="A517" s="75"/>
      <c r="B517" s="71"/>
      <c r="C517" s="195"/>
      <c r="D517" s="203"/>
      <c r="E517" s="196"/>
      <c r="F517" s="204"/>
      <c r="G517" s="204"/>
      <c r="L517" s="77"/>
      <c r="M517" s="76"/>
    </row>
    <row r="518" spans="1:13" s="70" customFormat="1" ht="18.75" customHeight="1">
      <c r="A518" s="75"/>
      <c r="B518" s="71"/>
      <c r="C518" s="197"/>
      <c r="L518" s="77"/>
      <c r="M518" s="76"/>
    </row>
    <row r="519" spans="1:13" s="70" customFormat="1" ht="22.5" customHeight="1">
      <c r="A519" s="75"/>
      <c r="D519" s="205"/>
      <c r="L519" s="77"/>
      <c r="M519" s="76"/>
    </row>
    <row r="520" spans="1:13" s="70" customFormat="1" ht="18">
      <c r="A520" s="75"/>
      <c r="B520" s="77"/>
      <c r="L520" s="77"/>
      <c r="M520" s="76"/>
    </row>
  </sheetData>
  <sheetProtection/>
  <mergeCells count="235">
    <mergeCell ref="M427:M436"/>
    <mergeCell ref="L487:L493"/>
    <mergeCell ref="M487:M493"/>
    <mergeCell ref="M495:M514"/>
    <mergeCell ref="L495:L514"/>
    <mergeCell ref="M480:M486"/>
    <mergeCell ref="M473:M479"/>
    <mergeCell ref="M446:M452"/>
    <mergeCell ref="A453:M453"/>
    <mergeCell ref="A454:L454"/>
    <mergeCell ref="B495:C514"/>
    <mergeCell ref="A495:A514"/>
    <mergeCell ref="D198:D204"/>
    <mergeCell ref="E198:E204"/>
    <mergeCell ref="B227:C233"/>
    <mergeCell ref="A227:A233"/>
    <mergeCell ref="A473:A479"/>
    <mergeCell ref="A466:A472"/>
    <mergeCell ref="B446:C452"/>
    <mergeCell ref="A446:A452"/>
    <mergeCell ref="B456:C462"/>
    <mergeCell ref="A456:A462"/>
    <mergeCell ref="A455:M455"/>
    <mergeCell ref="B487:C493"/>
    <mergeCell ref="A487:A493"/>
    <mergeCell ref="M466:M472"/>
    <mergeCell ref="M456:M462"/>
    <mergeCell ref="B352:C358"/>
    <mergeCell ref="B271:B280"/>
    <mergeCell ref="A346:A349"/>
    <mergeCell ref="B347:C347"/>
    <mergeCell ref="B373:C436"/>
    <mergeCell ref="A373:A436"/>
    <mergeCell ref="B350:C350"/>
    <mergeCell ref="A352:A358"/>
    <mergeCell ref="B348:C348"/>
    <mergeCell ref="B349:C349"/>
    <mergeCell ref="B73:C77"/>
    <mergeCell ref="A73:A77"/>
    <mergeCell ref="B84:C91"/>
    <mergeCell ref="B57:C63"/>
    <mergeCell ref="A57:A63"/>
    <mergeCell ref="E160:E165"/>
    <mergeCell ref="E152:E158"/>
    <mergeCell ref="E143:E150"/>
    <mergeCell ref="D151:D158"/>
    <mergeCell ref="B92:C98"/>
    <mergeCell ref="D418:D426"/>
    <mergeCell ref="B437:C445"/>
    <mergeCell ref="A359:M359"/>
    <mergeCell ref="A360:M360"/>
    <mergeCell ref="A362:A371"/>
    <mergeCell ref="B362:C371"/>
    <mergeCell ref="M362:M426"/>
    <mergeCell ref="D373:D380"/>
    <mergeCell ref="D381:D386"/>
    <mergeCell ref="D387:D396"/>
    <mergeCell ref="B494:C494"/>
    <mergeCell ref="A463:M463"/>
    <mergeCell ref="A464:M464"/>
    <mergeCell ref="A465:M465"/>
    <mergeCell ref="B466:C472"/>
    <mergeCell ref="B473:C479"/>
    <mergeCell ref="B480:C486"/>
    <mergeCell ref="A480:A486"/>
    <mergeCell ref="D397:D406"/>
    <mergeCell ref="L446:L452"/>
    <mergeCell ref="M437:M445"/>
    <mergeCell ref="A361:K361"/>
    <mergeCell ref="A329:A331"/>
    <mergeCell ref="B329:C331"/>
    <mergeCell ref="A332:A335"/>
    <mergeCell ref="B332:B335"/>
    <mergeCell ref="A336:A341"/>
    <mergeCell ref="B336:B341"/>
    <mergeCell ref="B346:C346"/>
    <mergeCell ref="A318:A319"/>
    <mergeCell ref="M318:M319"/>
    <mergeCell ref="M321:M322"/>
    <mergeCell ref="A322:A324"/>
    <mergeCell ref="B326:C326"/>
    <mergeCell ref="B327:C327"/>
    <mergeCell ref="M327:M328"/>
    <mergeCell ref="B328:C328"/>
    <mergeCell ref="L294:L295"/>
    <mergeCell ref="A297:A313"/>
    <mergeCell ref="B297:B313"/>
    <mergeCell ref="M297:M304"/>
    <mergeCell ref="M305:M313"/>
    <mergeCell ref="A314:A317"/>
    <mergeCell ref="B314:B317"/>
    <mergeCell ref="D290:D291"/>
    <mergeCell ref="A292:A293"/>
    <mergeCell ref="B292:B293"/>
    <mergeCell ref="D292:D293"/>
    <mergeCell ref="A294:A296"/>
    <mergeCell ref="B294:B296"/>
    <mergeCell ref="D294:D296"/>
    <mergeCell ref="A237:M237"/>
    <mergeCell ref="A238:A289"/>
    <mergeCell ref="B238:B270"/>
    <mergeCell ref="M238:M296"/>
    <mergeCell ref="L241:L246"/>
    <mergeCell ref="B281:B282"/>
    <mergeCell ref="B283:B284"/>
    <mergeCell ref="B286:B289"/>
    <mergeCell ref="A290:A291"/>
    <mergeCell ref="B290:B291"/>
    <mergeCell ref="A234:M234"/>
    <mergeCell ref="A235:M235"/>
    <mergeCell ref="B218:C226"/>
    <mergeCell ref="A218:A226"/>
    <mergeCell ref="M219:M226"/>
    <mergeCell ref="A236:M236"/>
    <mergeCell ref="B213:C213"/>
    <mergeCell ref="B214:C214"/>
    <mergeCell ref="B215:C215"/>
    <mergeCell ref="B216:C216"/>
    <mergeCell ref="B217:C217"/>
    <mergeCell ref="M227:M232"/>
    <mergeCell ref="A205:A210"/>
    <mergeCell ref="D173:D180"/>
    <mergeCell ref="M205:M210"/>
    <mergeCell ref="B212:C212"/>
    <mergeCell ref="B166:C204"/>
    <mergeCell ref="A166:A204"/>
    <mergeCell ref="B205:C211"/>
    <mergeCell ref="D166:D172"/>
    <mergeCell ref="E173:E180"/>
    <mergeCell ref="D181:D188"/>
    <mergeCell ref="E181:E188"/>
    <mergeCell ref="D112:D118"/>
    <mergeCell ref="E112:E118"/>
    <mergeCell ref="D189:D196"/>
    <mergeCell ref="E189:E196"/>
    <mergeCell ref="A107:A111"/>
    <mergeCell ref="M112:M188"/>
    <mergeCell ref="D119:D126"/>
    <mergeCell ref="E119:E126"/>
    <mergeCell ref="D127:D134"/>
    <mergeCell ref="E127:E134"/>
    <mergeCell ref="D135:D142"/>
    <mergeCell ref="E135:E142"/>
    <mergeCell ref="D143:D150"/>
    <mergeCell ref="E166:E172"/>
    <mergeCell ref="J99:J100"/>
    <mergeCell ref="K99:K100"/>
    <mergeCell ref="L99:L100"/>
    <mergeCell ref="M99:M105"/>
    <mergeCell ref="M107:M111"/>
    <mergeCell ref="B107:C111"/>
    <mergeCell ref="A84:A91"/>
    <mergeCell ref="M92:M97"/>
    <mergeCell ref="A99:A105"/>
    <mergeCell ref="B99:C105"/>
    <mergeCell ref="D99:D100"/>
    <mergeCell ref="E99:E100"/>
    <mergeCell ref="F99:F100"/>
    <mergeCell ref="G99:G100"/>
    <mergeCell ref="H99:H100"/>
    <mergeCell ref="I99:I100"/>
    <mergeCell ref="G85:G86"/>
    <mergeCell ref="H85:H86"/>
    <mergeCell ref="I85:I86"/>
    <mergeCell ref="J85:J86"/>
    <mergeCell ref="K85:K86"/>
    <mergeCell ref="L85:L86"/>
    <mergeCell ref="B64:C70"/>
    <mergeCell ref="A64:A70"/>
    <mergeCell ref="A92:A98"/>
    <mergeCell ref="A78:A83"/>
    <mergeCell ref="B78:C83"/>
    <mergeCell ref="M78:M83"/>
    <mergeCell ref="M84:M87"/>
    <mergeCell ref="D85:D86"/>
    <mergeCell ref="E85:E86"/>
    <mergeCell ref="F85:F86"/>
    <mergeCell ref="M64:M69"/>
    <mergeCell ref="K50:K51"/>
    <mergeCell ref="L50:L51"/>
    <mergeCell ref="A71:A72"/>
    <mergeCell ref="B71:C72"/>
    <mergeCell ref="G50:G51"/>
    <mergeCell ref="H50:H51"/>
    <mergeCell ref="I50:I51"/>
    <mergeCell ref="J50:J51"/>
    <mergeCell ref="A50:A56"/>
    <mergeCell ref="M30:M31"/>
    <mergeCell ref="A25:A28"/>
    <mergeCell ref="B45:B48"/>
    <mergeCell ref="D50:D51"/>
    <mergeCell ref="E50:E51"/>
    <mergeCell ref="F50:F51"/>
    <mergeCell ref="M50:M55"/>
    <mergeCell ref="B50:C56"/>
    <mergeCell ref="G8:G9"/>
    <mergeCell ref="A15:A20"/>
    <mergeCell ref="M15:M24"/>
    <mergeCell ref="A23:A24"/>
    <mergeCell ref="B23:B24"/>
    <mergeCell ref="A43:A44"/>
    <mergeCell ref="B43:B44"/>
    <mergeCell ref="A33:A35"/>
    <mergeCell ref="B33:B35"/>
    <mergeCell ref="M33:M42"/>
    <mergeCell ref="B112:C165"/>
    <mergeCell ref="A12:M12"/>
    <mergeCell ref="A13:M13"/>
    <mergeCell ref="B10:C10"/>
    <mergeCell ref="D5:D9"/>
    <mergeCell ref="M5:M9"/>
    <mergeCell ref="F6:F9"/>
    <mergeCell ref="G6:J6"/>
    <mergeCell ref="M25:M28"/>
    <mergeCell ref="A14:M14"/>
    <mergeCell ref="A112:A165"/>
    <mergeCell ref="D159:D165"/>
    <mergeCell ref="G7:I7"/>
    <mergeCell ref="J7:J9"/>
    <mergeCell ref="L5:L9"/>
    <mergeCell ref="A437:A445"/>
    <mergeCell ref="E5:E9"/>
    <mergeCell ref="F5:J5"/>
    <mergeCell ref="K5:K9"/>
    <mergeCell ref="A11:M11"/>
    <mergeCell ref="J1:M1"/>
    <mergeCell ref="J2:M2"/>
    <mergeCell ref="B15:B22"/>
    <mergeCell ref="B25:B29"/>
    <mergeCell ref="B30:B32"/>
    <mergeCell ref="A30:A32"/>
    <mergeCell ref="B3:L3"/>
    <mergeCell ref="A5:A9"/>
    <mergeCell ref="B5:C9"/>
    <mergeCell ref="H8:I8"/>
  </mergeCells>
  <printOptions/>
  <pageMargins left="0.1968503937007874" right="0.1968503937007874" top="0.3937007874015748" bottom="0.1968503937007874" header="0" footer="0"/>
  <pageSetup fitToHeight="25" fitToWidth="1" horizontalDpi="600" verticalDpi="600" orientation="landscape" paperSize="9" scale="55" r:id="rId3"/>
  <rowBreaks count="17" manualBreakCount="17">
    <brk id="24" max="12" man="1"/>
    <brk id="37" max="12" man="1"/>
    <brk id="49" max="12" man="1"/>
    <brk id="72" max="12" man="1"/>
    <brk id="98" max="12" man="1"/>
    <brk id="134" max="12" man="1"/>
    <brk id="172" max="12" man="1"/>
    <brk id="226" max="12" man="1"/>
    <brk id="255" max="12" man="1"/>
    <brk id="280" max="12" man="1"/>
    <brk id="313" max="12" man="1"/>
    <brk id="328" max="12" man="1"/>
    <brk id="358" max="12" man="1"/>
    <brk id="386" max="12" man="1"/>
    <brk id="416" max="12" man="1"/>
    <brk id="445" max="12" man="1"/>
    <brk id="479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retivova_vyu</cp:lastModifiedBy>
  <cp:lastPrinted>2020-09-28T13:26:20Z</cp:lastPrinted>
  <dcterms:created xsi:type="dcterms:W3CDTF">2010-09-22T11:49:59Z</dcterms:created>
  <dcterms:modified xsi:type="dcterms:W3CDTF">2020-09-30T08:36:28Z</dcterms:modified>
  <cp:category/>
  <cp:version/>
  <cp:contentType/>
  <cp:contentStatus/>
</cp:coreProperties>
</file>