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зменения  от 23.12.20г. " sheetId="1" r:id="rId1"/>
  </sheets>
  <definedNames>
    <definedName name="_xlnm.Print_Titles" localSheetId="0">'Изменения  от 23.12.20г. '!$5:$10</definedName>
    <definedName name="_xlnm.Print_Area" localSheetId="0">'Изменения  от 23.12.20г. '!$A$1:$M$623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170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</text>
    </comment>
  </commentList>
</comments>
</file>

<file path=xl/sharedStrings.xml><?xml version="1.0" encoding="utf-8"?>
<sst xmlns="http://schemas.openxmlformats.org/spreadsheetml/2006/main" count="787" uniqueCount="364">
  <si>
    <t xml:space="preserve">Приложение № 2 к программе "Развитие образования </t>
  </si>
  <si>
    <t>ЗАТО г. Радужный Владимирской области"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</si>
  <si>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</si>
  <si>
    <t>,</t>
  </si>
  <si>
    <t xml:space="preserve">Направление мероприятия </t>
  </si>
  <si>
    <t xml:space="preserve">Срок исполнения </t>
  </si>
  <si>
    <t>Объём финансирования (тыс.руб.)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</si>
  <si>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</si>
  <si>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</si>
  <si>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</si>
  <si>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результаты:                                   Показатели оценки эффективности  (качественные, количественные)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</si>
  <si>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</si>
  <si>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</si>
  <si>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</si>
  <si>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</si>
  <si>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</si>
  <si>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</si>
  <si>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</si>
  <si>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</si>
  <si>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 Развитие системы обеспечения доступности качества образовательных услуг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</si>
  <si>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</si>
  <si>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</si>
  <si>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1.Е1.1</t>
  </si>
  <si>
    <r>
      <rPr>
        <b/>
        <sz val="11"/>
        <rFont val="Times New Roman"/>
        <family val="1"/>
      </rPr>
      <t>1.Е1 "Федеральный проект  "Современная школа" национального проекта "Образование"</t>
    </r>
    <r>
      <rPr>
        <sz val="11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обеспечение центров образования естественно-научной и технологической направленности в общеобраз-х организациях расположенных в сельской местности и малых годах"</t>
    </r>
  </si>
  <si>
    <t>сош № 2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</si>
  <si>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</si>
  <si>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Всего </t>
  </si>
  <si>
    <t>сош № 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</si>
  <si>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</si>
  <si>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</si>
  <si>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</si>
  <si>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r>
      <rPr>
        <b/>
        <sz val="14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4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</si>
  <si>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</si>
  <si>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1.Е3.1</t>
  </si>
  <si>
    <r>
      <rPr>
        <b/>
        <sz val="12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2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</si>
  <si>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</si>
  <si>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сош № 2 </t>
  </si>
  <si>
    <t>1.Е4.1</t>
  </si>
  <si>
    <r>
      <rPr>
        <b/>
        <sz val="12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2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</si>
  <si>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>2021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</si>
  <si>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</si>
  <si>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</si>
  <si>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</si>
  <si>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</si>
  <si>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</si>
  <si>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</si>
  <si>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</si>
  <si>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</si>
  <si>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</si>
  <si>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</si>
  <si>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</si>
  <si>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</si>
  <si>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</si>
  <si>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</si>
  <si>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</si>
  <si>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</si>
  <si>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</si>
  <si>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r>
      <rPr>
        <b/>
        <sz val="13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</si>
  <si>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t>сош № 1     сош № 2</t>
  </si>
  <si>
    <t>Итого по нац проектам</t>
  </si>
  <si>
    <t>Итого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</si>
  <si>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</si>
  <si>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учреждений, оценка профессиональных рисков,  оснащение методического кабинета оборудованием и материалами для проведения в дистанционной форме  мероприятий по вопросам организации обраховательного процесса                                      </t>
  </si>
  <si>
    <t>Управление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</si>
  <si>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</si>
  <si>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1.2.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</si>
  <si>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</si>
  <si>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>1.2.1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</si>
  <si>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</si>
  <si>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 xml:space="preserve">Управление образования    </t>
  </si>
  <si>
    <t>Рост числа участников олимпиад, конкурсов, фестивалей, выставок к общему количеству обучающихся: 2017 г.-79%, 2018 г.- 80%, 2019 г.- 81%, 2020г. -73,2%, 2021г. -73,3%, 2022г. -75,4%</t>
  </si>
  <si>
    <t>Управление образования    в т. ч 40,250- премия отличникам учебы</t>
  </si>
  <si>
    <t>Управление образования, МБОУ ДОД ЦВР "Лад"</t>
  </si>
  <si>
    <t>1.2.1.</t>
  </si>
  <si>
    <t>Приобретение методической литературы для работы с детьми с ограниченными возможностями</t>
  </si>
  <si>
    <t>1.2.2.</t>
  </si>
  <si>
    <t>Премия отличникам учебы</t>
  </si>
  <si>
    <t>МБОУ СОШ 1, СОШ 2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</si>
  <si>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</si>
  <si>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</si>
  <si>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 xml:space="preserve">Управление образования  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</si>
  <si>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-4,5%, 2021г. -5%, 2022г. -5%,2023г. -5%</t>
  </si>
  <si>
    <t xml:space="preserve">Управление образования 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</si>
  <si>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</si>
  <si>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</si>
  <si>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90%,2021г. 90%</t>
  </si>
  <si>
    <t>1.5.</t>
  </si>
  <si>
    <t>. Проведение городских праздников "День знаний", " "Выпускник", "День учителя"</t>
  </si>
  <si>
    <t>Повышение престижа педагогической профессии, продолжение обучения в ВУЗах и СУЗах выпускников 11 классов: 2017 г.- 88%, 2018 г.- 89%, 2019 г.- 90%, 2020г. -95%,2021г. -95%, 2022г. -95%,2023г. -95%</t>
  </si>
  <si>
    <t>1.6.</t>
  </si>
  <si>
    <t xml:space="preserve"> Проведение военных сборов       (участие в проведении акции "День призывника")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</si>
  <si>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-100%, 2021г. -100%, 2022г. -100%,2023г. -100%</t>
  </si>
  <si>
    <t>1.7.</t>
  </si>
  <si>
    <t xml:space="preserve"> Поощрение лучших учителей-лауреатов областного конкурса</t>
  </si>
  <si>
    <t>МБОУ СОШ № 1</t>
  </si>
  <si>
    <t>Вознаграждение за конкурс "Лучший учитель" 2017 г.-100%, 2018 г.- 100%, 2019 г.-100%, 2020г- 100%, 2021г- 100%, 2022г. -100%,2023г. -100%</t>
  </si>
  <si>
    <t>МБОУ СОШ № 2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</si>
  <si>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</si>
  <si>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Содержание спортивной площадки МБОУ СОШ№2,  Поощрение ГРБС, добившихся высоких результатов в использовании бюджетных ассигнований и качества управления финансами.</t>
  </si>
  <si>
    <t>Унификация программного продукта. Внедрение программного комплекса «1С: управление школой», "Барс" в 2017 г.-100%, 2018 г.- 100%, 2019 г.- 100% , 2020г- 100%, 2021г- 100%, 2022г. -100%,2023г. -100%.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- 100%, 2021г- 100%, 2022г. -100%,2023г. -100%</t>
  </si>
  <si>
    <t>Упр-е образования, методкабинет</t>
  </si>
  <si>
    <t>МБДОУ ЦРР Д/С № 3</t>
  </si>
  <si>
    <t>МБДОУ ЦРР Д/С № 5</t>
  </si>
  <si>
    <t>МБДОУ ЦРР Д/С № 6</t>
  </si>
  <si>
    <t>МБОУСОШ №1</t>
  </si>
  <si>
    <t>МБОУСОШ №2</t>
  </si>
  <si>
    <t>ЦВР "Лад"</t>
  </si>
  <si>
    <t>МБОУДО ЦВР "Лад"</t>
  </si>
  <si>
    <t>ДОУ ЦРР Д/С № 3</t>
  </si>
  <si>
    <t>ДОУ ЦРР Д/С № 5</t>
  </si>
  <si>
    <t>ДОУ ЦРР Д/С № 6</t>
  </si>
  <si>
    <t xml:space="preserve"> ЦВР "Лад"</t>
  </si>
  <si>
    <t>МБОУ СОШ №1</t>
  </si>
  <si>
    <t>МБОУ СОШ №2</t>
  </si>
  <si>
    <t xml:space="preserve">Упр-е образования, </t>
  </si>
  <si>
    <t>Содержание спортивной площадки</t>
  </si>
  <si>
    <t>1.9.</t>
  </si>
  <si>
    <t>Обеспечение безопасности дорожного движения</t>
  </si>
  <si>
    <t>ДОУ № 3</t>
  </si>
  <si>
    <t>ДОУ № 5</t>
  </si>
  <si>
    <t>ДОУ № 6</t>
  </si>
  <si>
    <t>Упр-ние образования</t>
  </si>
  <si>
    <t>1.10</t>
  </si>
  <si>
    <r>
      <rPr>
        <sz val="14"/>
        <rFont val="Times New Roman"/>
        <family val="1"/>
      </rP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</si>
  <si>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СОШ № 2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</si>
  <si>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2020г.- 100%, 2021г- 100%,2022г. -100%,2023г. -100%</t>
  </si>
  <si>
    <t>1.11.</t>
  </si>
  <si>
    <t xml:space="preserve">Устройство исистемы видеонаблюения спортивно-игровой площадки на межшкольном стадионе </t>
  </si>
  <si>
    <t>управление образования</t>
  </si>
  <si>
    <t>1.12.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</si>
  <si>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</si>
  <si>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МБОУ ДОД ЦВР "Лад",МБОУ СОШ №1 , МБДОУ ЦРР Д/С №5</t>
  </si>
  <si>
    <t>Создание условий для участия обучающихся образовательных учреждений в конкурсах, соревнованиях за пределами города.</t>
  </si>
  <si>
    <t>1.13.</t>
  </si>
  <si>
    <t>Укрепление МТБ (приобретение)</t>
  </si>
  <si>
    <t>ЦВР Лад - приобрет винтовки</t>
  </si>
  <si>
    <t>1.14.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</si>
  <si>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</si>
  <si>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Проведение специальной оценки условий труда</t>
  </si>
  <si>
    <t>1.15.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</si>
  <si>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</si>
  <si>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Управление образования, МБОУ ДО ЦВР "Лад"</t>
  </si>
  <si>
    <t xml:space="preserve"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- 240; 2022г. - 240; 2023г.-240; </t>
  </si>
  <si>
    <t>1.16.</t>
  </si>
  <si>
    <t>Мероприятия, связанные с профилактикой и предотвращением коронавирусной инфекции</t>
  </si>
  <si>
    <t>СОШ 1</t>
  </si>
  <si>
    <t>сош 1 - м/ б-т</t>
  </si>
  <si>
    <t>Обеспечение безопасности распространения новой коронавирусной инфекции</t>
  </si>
  <si>
    <t>сош 1--о/б, м/б (соф-е)</t>
  </si>
  <si>
    <t>СОШ 2</t>
  </si>
  <si>
    <t>сош 2 - м/ б-т</t>
  </si>
  <si>
    <t>сош 2--о/б, м/б (соф-е)</t>
  </si>
  <si>
    <t>ДОУ 3</t>
  </si>
  <si>
    <t>доу 3- о/б, м/б(соф-е)</t>
  </si>
  <si>
    <t>ДОУ 5</t>
  </si>
  <si>
    <t>доу 5- о/б, м/б(соф-е)</t>
  </si>
  <si>
    <t>ДОУ 6</t>
  </si>
  <si>
    <t>доу 6- о/б, м/б (соф-е)</t>
  </si>
  <si>
    <t>ЦВР</t>
  </si>
  <si>
    <t>ЦВР - м/ б-т</t>
  </si>
  <si>
    <t>Итого по разделу 1: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</si>
  <si>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</si>
  <si>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</si>
  <si>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</si>
  <si>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Мероприятия:</t>
  </si>
  <si>
    <t>2.1.</t>
  </si>
  <si>
    <t>Проектные работы, реконструкция, текущие ремонты</t>
  </si>
  <si>
    <t>тек. ремонт</t>
  </si>
  <si>
    <t>МКУ «ГКМХ», управление образования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</si>
  <si>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- 100%, 2021г- 100%, 2022г- 100%, 2023г- 100%.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</si>
  <si>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>ремонт п/блока</t>
  </si>
  <si>
    <t>МКУ «ГКМХ»</t>
  </si>
  <si>
    <t>д/с № 3</t>
  </si>
  <si>
    <t>д/с № 5</t>
  </si>
  <si>
    <t>д/с  № 5</t>
  </si>
  <si>
    <t>д/с № 6</t>
  </si>
  <si>
    <t>СОШ № !</t>
  </si>
  <si>
    <t>ГКМХ</t>
  </si>
  <si>
    <t>Цвр "Лад"</t>
  </si>
  <si>
    <t>СОШ № 1</t>
  </si>
  <si>
    <t>ГКМХ СОШ № 1 -софин-е</t>
  </si>
  <si>
    <t>ЦВР (дол)</t>
  </si>
  <si>
    <t>МКУ "ГКМХ"</t>
  </si>
  <si>
    <t>Ремонт трубопровода системы отопления в подвале</t>
  </si>
  <si>
    <t>Ремонт полов, отмостков и кирпичной кладки прогулочных веранд гр, №10,12,14,13,8,1,9,5</t>
  </si>
  <si>
    <t>Замена канализационных труб 3 блока идущих от здания  к канализационному люку со стороны пищеблока.</t>
  </si>
  <si>
    <t>Текущий ремонт групп 3.1,3.2,3.3 (линолеум)</t>
  </si>
  <si>
    <t>Ремонт кирпичных столбов ворот и калитки центрального входа</t>
  </si>
  <si>
    <t>Пищеблок: составление ПСД на  вентиляцию, канализацию, водоснабжение, электроснабжение</t>
  </si>
  <si>
    <t>Замена приборов учета воды: (расходомеры-3шт, датчики давления - 3 шт., тепловычислитель - 1 шт.)</t>
  </si>
  <si>
    <t>Замена регистров в раздевалке группы 3/5</t>
  </si>
  <si>
    <t>Замена регистров отопления в раздевалках</t>
  </si>
  <si>
    <t xml:space="preserve">Текущий ремонт 10 веранд </t>
  </si>
  <si>
    <t>Ремонт крыльца центрального входа в школу (путь эвакуации)</t>
  </si>
  <si>
    <t>Текущий ремонт  рекриации 2 и 3 этажа</t>
  </si>
  <si>
    <t xml:space="preserve">Текущий ремонт вестибюля 
</t>
  </si>
  <si>
    <t xml:space="preserve">Ремонт кровли здания </t>
  </si>
  <si>
    <t>Ремонт ограждений спортивной площадки между школами</t>
  </si>
  <si>
    <t>Текущий ремонт коридора 2 этажа блока "Б" в МБОУ ЦР "Лад"</t>
  </si>
  <si>
    <t>Текущий ремонт системы отопления в помещениях</t>
  </si>
  <si>
    <t>Текущий ремонт козырьков над центральным входом и над запасным входом</t>
  </si>
  <si>
    <t>Текущий ремонт туалета возле каб. 23</t>
  </si>
  <si>
    <t>Замена решетки в зале музея боевой славы В.О. в каб.25</t>
  </si>
  <si>
    <t>2.1.1.</t>
  </si>
  <si>
    <t>Общеобразовательных учреждений (текущий ремонт)</t>
  </si>
  <si>
    <t>2.1.2.</t>
  </si>
  <si>
    <t>Учреждения дополнительного образования (текущий ремонт)</t>
  </si>
  <si>
    <t>2.1.3.</t>
  </si>
  <si>
    <t>Дошкольных учреждений  (текущий ремонт)</t>
  </si>
  <si>
    <t>2.2.</t>
  </si>
  <si>
    <t>Обеспечение пожарной безопасности образовательных учреждений согласно требованиям  пожарной безопасностина 100 %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</si>
  <si>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</si>
  <si>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</si>
  <si>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</si>
  <si>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</si>
  <si>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Замена трансформаторов тока,плавких предохранителей на автоматические выключатели в ВРУ</t>
  </si>
  <si>
    <t xml:space="preserve">Реконструкция АПС с заменой датчиков </t>
  </si>
  <si>
    <t>Разработка проекта на систему оповещенияи управления эвакуацией</t>
  </si>
  <si>
    <t>Перенос датчиков пожарной сигнализации от осветительных приборов - основное здание</t>
  </si>
  <si>
    <t>Замена планов эвакуации в основном здании</t>
  </si>
  <si>
    <t>2.3.</t>
  </si>
  <si>
    <t xml:space="preserve">Обеспечение антитеррористической защищенности, пожрной безопасности общеобразовательных организаций .                            </t>
  </si>
  <si>
    <t>2.3.1.</t>
  </si>
  <si>
    <t>Поставка мегафона  и оповещателя</t>
  </si>
  <si>
    <t>2.3.2.</t>
  </si>
  <si>
    <t>Приобретение первичных средств пожаротушения (огнетушители)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</si>
  <si>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</si>
  <si>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2.3.3.</t>
  </si>
  <si>
    <t>Дополнительное оборудование здания начальных классов системой наружного и внутреннего  видеонаблюдения.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</si>
  <si>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</si>
  <si>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2.3.4.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</si>
  <si>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</si>
  <si>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</si>
  <si>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сош №1</t>
  </si>
  <si>
    <t>Ремонт системы видеонаблюдения и установка дополнительного речевого модуля системы оповещения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</si>
  <si>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</si>
  <si>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2.3.5.</t>
  </si>
  <si>
    <t>Оборудование видеокамерами цветного изображения рекреаций 1-3 этажей</t>
  </si>
  <si>
    <t>Замена 30% автоматических выключателей для защиты распределительной сети</t>
  </si>
  <si>
    <t>2.4.</t>
  </si>
  <si>
    <t>Приобретение автоматических выключателей в электрощитки (замена)</t>
  </si>
  <si>
    <t>2.4.1.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</si>
  <si>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</si>
  <si>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</si>
  <si>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2.4.2.</t>
  </si>
  <si>
    <t>Управление образования, СОШ № 1</t>
  </si>
  <si>
    <t>2.5.</t>
  </si>
  <si>
    <t>Антитеррористическая безопасность.                             Паспорта безопасности</t>
  </si>
  <si>
    <t>2.5.1.</t>
  </si>
  <si>
    <t xml:space="preserve">Установка камер видеонаблюдения </t>
  </si>
  <si>
    <t>сош 1</t>
  </si>
  <si>
    <t>сош 2</t>
  </si>
  <si>
    <t>2.5.2</t>
  </si>
  <si>
    <t>Оснащение охранной сигнализации (в т.ч. установкаэлектронных заиков для разблокировки на двери запасных выходов)</t>
  </si>
  <si>
    <t>ЦВР  "Лад"</t>
  </si>
  <si>
    <t>2.5.3.</t>
  </si>
  <si>
    <t>2.5.4.</t>
  </si>
  <si>
    <t>Оснащение въездов на объект средствами снижения скорости</t>
  </si>
  <si>
    <t>2.5.5.</t>
  </si>
  <si>
    <t>Замена входных дверей главного запасного входа</t>
  </si>
  <si>
    <t>2.5.6.</t>
  </si>
  <si>
    <t>Синхронизация СКУД и домофонов</t>
  </si>
  <si>
    <t>2.6.</t>
  </si>
  <si>
    <t>Приобретение аккууляторов для КТС</t>
  </si>
  <si>
    <t>Мероприятия по подготовке  к новому учебному году</t>
  </si>
  <si>
    <t>ДОУ  № 3</t>
  </si>
  <si>
    <t>Мероприяти по подготовке к началу учебного года муниципальных дошкольных образовательных учреждений</t>
  </si>
  <si>
    <t>Мероприяти по подготовке к началу учебного года муниципальных общеобразовательных учреждений</t>
  </si>
  <si>
    <t>Итого по разделу 2: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</si>
  <si>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</si>
  <si>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Задача: Обеспечение условий реализации образовательных программ соответствующих уровней.</t>
  </si>
  <si>
    <t>3.1.</t>
  </si>
  <si>
    <t>Нормативные затраты, непосредственно связанные с оказанием муниципальных услуг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</si>
  <si>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- 9,7, 2021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- 100%, 2021 году - 100%.
Удельный вес численности учащихся 9-10 классов, обучающихся по программам предпрофильной подготовки и программам профильного обучения к 2020 г. - 50%, 2021 г. - 52%, 2022 г. - 53%, 2023 г. - 54%.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2021 г. - 50%,  2022 г. - 50%,  2023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-5%, 2021-2%, 2022-2%, 2023-2%.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2020 г. - 75%,2021г-76%, 2022г.-77%, 2023г.-78,5, 2024г.-80%.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46%, 2021г.-52%, 2022г.-58%, 2023г.-64%, 2024г.-70%.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</si>
  <si>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>МБДОУ ЦРР Д/С №3</t>
  </si>
  <si>
    <t>МБДОУ ЦРР Д/С №5</t>
  </si>
  <si>
    <t>МБДОУ ЦРР Д/С №6</t>
  </si>
  <si>
    <t>МБОУ ДОД ЦВР "Лад"</t>
  </si>
  <si>
    <t>МБОУ ДОД ЦВР "Лад" (з/пл. педагогов доведение до указа президента)</t>
  </si>
  <si>
    <t>МБОУ ДОД ЦВР "Лад",МБОУ СОШ №1 , МБДОУ ЦРР Д/С №5; Д/с 3; Д/с 6;СОШ №2</t>
  </si>
  <si>
    <t>3.2.</t>
  </si>
  <si>
    <t xml:space="preserve"> Выполнение  функций муниципального задания  </t>
  </si>
  <si>
    <t>МБОУ ДОД ЦВР "Лад" (софин.)</t>
  </si>
  <si>
    <t>ЦВР "Лад"  (все расзоды)</t>
  </si>
  <si>
    <t xml:space="preserve"> ЦВР "Лад" (з/плата)</t>
  </si>
  <si>
    <t>ЦВР (софинанс к обл.)</t>
  </si>
  <si>
    <t>МБДОУ Д/С №3</t>
  </si>
  <si>
    <t>МБДОУ  Д/С №5</t>
  </si>
  <si>
    <t>МБДОУ Д/С №6</t>
  </si>
  <si>
    <t xml:space="preserve"> ЦВР "Лад"(все расходы)</t>
  </si>
  <si>
    <t>ЦВР (соф-е к обл)</t>
  </si>
  <si>
    <t xml:space="preserve"> ЦВР "Лад" (софин.)</t>
  </si>
  <si>
    <t>ДОУ № 3 (расх)</t>
  </si>
  <si>
    <t>ДОУ № 3 (з/пл)</t>
  </si>
  <si>
    <t>ДОУ № 5 (расх)</t>
  </si>
  <si>
    <t>ДОУ № 5 (з/пл)</t>
  </si>
  <si>
    <t>ДОУ № 6 (расх)</t>
  </si>
  <si>
    <t>ДОУ № 6 (з/пл)</t>
  </si>
  <si>
    <t xml:space="preserve"> ЦВР "Лад"(расх)</t>
  </si>
  <si>
    <t xml:space="preserve"> ЦВР "Лад"(расход)</t>
  </si>
  <si>
    <t>ЦВР (софина к обл)</t>
  </si>
  <si>
    <t xml:space="preserve"> ЦВР "Лад"(мун зад)</t>
  </si>
  <si>
    <t>ЦВР (софин к обл)</t>
  </si>
  <si>
    <t>3.3.</t>
  </si>
  <si>
    <r>
      <rPr>
        <sz val="16"/>
        <rFont val="Times New Roman"/>
        <family val="1"/>
      </rPr>
      <t xml:space="preserve">Обеспечение выплат ежемесячного денежного вознаграждения за </t>
    </r>
    <r>
      <rPr>
        <sz val="18"/>
        <rFont val="Times New Roman"/>
        <family val="1"/>
      </rPr>
      <t>классное руководство</t>
    </r>
    <r>
      <rPr>
        <sz val="16"/>
        <rFont val="Times New Roman"/>
        <family val="1"/>
      </rPr>
      <t xml:space="preserve">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  </r>
  </si>
  <si>
    <t>Итого по разделу 3:</t>
  </si>
  <si>
    <t>4. Выполнение управленческих функций, обеспечивающих стабильность работы подведомственных учреждений</t>
  </si>
  <si>
    <t>Цель: Повышение эффективности управления  в системе образования</t>
  </si>
  <si>
    <t>Задача: Реализация расходов на обеспечение деятельности муниципальных учреждений</t>
  </si>
  <si>
    <t>4.1.</t>
  </si>
  <si>
    <t xml:space="preserve"> Расходы на обеспечение деятельности (оказания услуг) муниципальных организаци</t>
  </si>
  <si>
    <t>ЦБ, МК упр. образования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</si>
  <si>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, 2021г.-92%, 2022г.-95%, 2023г.-97%.</t>
  </si>
  <si>
    <t>5. "Социальная поддержка населения"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</si>
  <si>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</si>
  <si>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</si>
  <si>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5.1.</t>
  </si>
  <si>
    <t>Социальная поддержка детей-инвалидов дошкольного возраста</t>
  </si>
  <si>
    <t>Доля детей-инвалидов дошкольного возраста, охваченных социальной поддержкой: 2017 год -100%, 2018 год - 100%, 2019 год - 100%, 2020 год - 100%, 2021 год - 100%, 2022 год - 100%, 2023 год - 100%</t>
  </si>
  <si>
    <t>5.2.</t>
  </si>
  <si>
    <t>Соцальная поддерка по оплате жилья и коммуных услуг отдельным категориям граждан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</si>
  <si>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- 100%, 2021 год - 100%, 2022 год - 100%, 2023 год - 100%</t>
  </si>
  <si>
    <t>5.3.</t>
  </si>
  <si>
    <t>Компенсация части родительской платы за содержание ребенка в  муниципальных образовательных учреждениях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</si>
  <si>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- 100%, 2021 год - 100%, 2022 год - 100%, 2023 год - 100%.</t>
  </si>
  <si>
    <t>Итого по разделу 5:</t>
  </si>
  <si>
    <t>6. Обеспечение персонифицированного финансирования дополнительного образования</t>
  </si>
  <si>
    <t>Цель: Обеспечение персонифицированного финансирования дополнительного образования</t>
  </si>
  <si>
    <t>6.</t>
  </si>
  <si>
    <t>Обеспечение персонифицированного финансирования дополнительного образования</t>
  </si>
  <si>
    <t>Управление образования, Комитет по культуре и спорту</t>
  </si>
  <si>
    <t>Итого по разделу 6:</t>
  </si>
  <si>
    <t>ИТОГО по подпрограмме:</t>
  </si>
  <si>
    <t xml:space="preserve">     3.Выполнение муниципальных заданий</t>
  </si>
  <si>
    <t>Текущий ремонт инженерных коммуникаций в подвале блока №2</t>
  </si>
  <si>
    <t>Установка узлов смешивания на трубы полового отопления</t>
  </si>
  <si>
    <t>Составление ПСД  на разработку узлов смешивания системы отопления тёплых полов</t>
  </si>
  <si>
    <t>Ремонт стен в коридорах 1 и 2 этажей</t>
  </si>
  <si>
    <t>Установка системы отключения общеобменной приточной вентиляции в прачке</t>
  </si>
  <si>
    <t>Установка доводчиков на двери поэтажных выходов</t>
  </si>
  <si>
    <t>Обеспечение возможности свободного открывания дверей эвакуационных выходов изнутри без ключа</t>
  </si>
  <si>
    <t>Составление сметной документации по демонтажу опасного игрового оборудования и демонтаж</t>
  </si>
  <si>
    <t>Текущий ремонт перехода в КЦ "Досуг"</t>
  </si>
  <si>
    <t>Текущий ремонт пищеблока столовой в здании начальной школы</t>
  </si>
  <si>
    <t>Ремонт кабинета №18 и лаборантской ("Точка роста" - физика)</t>
  </si>
  <si>
    <t>Ремонт кабинета №19 робототехника("Точка роста" - технологическое направление)</t>
  </si>
  <si>
    <t>Ремонт кабинета №22 и лаборантской ("Точка роста" - биология)</t>
  </si>
  <si>
    <t>Ремонт кабинета №21 и лаборантской("Точка роста" - химия )</t>
  </si>
  <si>
    <t>Сантехнические работы в каб. "Точки роста"</t>
  </si>
  <si>
    <t>Устройство системы вытяжной вентиляции от шкафов кабинета химии - основное здание, кабинет №21</t>
  </si>
  <si>
    <t>Замена оконных блоков и частичный ремонт рекреации 1 этажа</t>
  </si>
  <si>
    <t>Текущий ремонт  в группах  № 2,4,5,12,8</t>
  </si>
  <si>
    <t>Текущий ремонт физкультурного зала, перехода в бассейн и тамбуров у вахты</t>
  </si>
  <si>
    <t>Текущий ремонт помещений</t>
  </si>
  <si>
    <t>Текущий ремонт калиток</t>
  </si>
  <si>
    <t>2017-2023г.г.</t>
  </si>
  <si>
    <t xml:space="preserve"> Выполнение  функций муниципального задания</t>
  </si>
  <si>
    <t>Ремонд кровли(спортзал)</t>
  </si>
  <si>
    <t>СОШ 1- жалюзи (точка роста)</t>
  </si>
  <si>
    <t>ДОУ №3</t>
  </si>
  <si>
    <t>Ремонт кровли пищеблока</t>
  </si>
  <si>
    <t xml:space="preserve">Замена пократия пола  в коридорах </t>
  </si>
  <si>
    <t>Ремонт потолка лестничной клетки</t>
  </si>
  <si>
    <t xml:space="preserve">Замена пократия пола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</si>
</sst>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_-* #,##0.00_р_._-;\-* #,##0.00_р_._-;_-* \-??_р_._-;_-@_-"/>
    <numFmt numFmtId="166" formatCode="0.0000"/>
    <numFmt numFmtId="167" formatCode="0.000000"/>
    <numFmt numFmtId="168" formatCode="#,##0.00000\ _р_."/>
    <numFmt numFmtId="169" formatCode="#,##0.000000\ _р_."/>
    <numFmt numFmtId="170" formatCode="#,##0.0000"/>
    <numFmt numFmtId="171" formatCode="_-* #,##0.00000_р_._-;\-* #,##0.00000_р_._-;_-* \-??_р_._-;_-@_-"/>
    <numFmt numFmtId="172" formatCode="0.000"/>
    <numFmt numFmtId="173" formatCode="0.0"/>
    <numFmt numFmtId="174" formatCode="#,##0.000"/>
  </numFmts>
  <fonts count="71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4"/>
      <color indexed="3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" fontId="2" fillId="0" borderId="1">
      <alignment horizontal="center" vertical="top" shrinkToFit="1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02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172" fontId="19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6" fillId="34" borderId="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" xfId="0" applyFont="1" applyFill="1" applyBorder="1" applyAlignment="1">
      <alignment horizontal="left" vertical="center" wrapText="1"/>
    </xf>
    <xf numFmtId="2" fontId="11" fillId="35" borderId="1" xfId="59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/>
    </xf>
    <xf numFmtId="0" fontId="23" fillId="36" borderId="1" xfId="0" applyFont="1" applyFill="1" applyBorder="1" applyAlignment="1">
      <alignment vertical="top" wrapText="1"/>
    </xf>
    <xf numFmtId="164" fontId="5" fillId="36" borderId="1" xfId="59" applyNumberFormat="1" applyFont="1" applyFill="1" applyBorder="1" applyAlignment="1" applyProtection="1">
      <alignment horizontal="center" vertical="center" wrapText="1"/>
      <protection/>
    </xf>
    <xf numFmtId="164" fontId="7" fillId="36" borderId="1" xfId="59" applyNumberFormat="1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>
      <alignment horizontal="center" vertical="center" wrapText="1"/>
    </xf>
    <xf numFmtId="164" fontId="5" fillId="36" borderId="12" xfId="59" applyNumberFormat="1" applyFont="1" applyFill="1" applyBorder="1" applyAlignment="1" applyProtection="1">
      <alignment horizontal="center" vertical="center" wrapText="1"/>
      <protection/>
    </xf>
    <xf numFmtId="164" fontId="7" fillId="36" borderId="12" xfId="59" applyNumberFormat="1" applyFont="1" applyFill="1" applyBorder="1" applyAlignment="1" applyProtection="1">
      <alignment horizontal="center" vertical="center" wrapText="1"/>
      <protection/>
    </xf>
    <xf numFmtId="0" fontId="11" fillId="36" borderId="1" xfId="0" applyFont="1" applyFill="1" applyBorder="1" applyAlignment="1">
      <alignment vertical="top" wrapText="1"/>
    </xf>
    <xf numFmtId="0" fontId="11" fillId="36" borderId="1" xfId="0" applyFont="1" applyFill="1" applyBorder="1" applyAlignment="1">
      <alignment wrapText="1"/>
    </xf>
    <xf numFmtId="0" fontId="7" fillId="36" borderId="12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11" fillId="36" borderId="1" xfId="0" applyFont="1" applyFill="1" applyBorder="1" applyAlignment="1">
      <alignment horizontal="justify" vertical="top" wrapText="1"/>
    </xf>
    <xf numFmtId="0" fontId="11" fillId="36" borderId="13" xfId="0" applyFont="1" applyFill="1" applyBorder="1" applyAlignment="1">
      <alignment/>
    </xf>
    <xf numFmtId="0" fontId="7" fillId="36" borderId="13" xfId="0" applyFont="1" applyFill="1" applyBorder="1" applyAlignment="1">
      <alignment horizontal="center" vertical="center" wrapText="1"/>
    </xf>
    <xf numFmtId="0" fontId="14" fillId="36" borderId="1" xfId="0" applyFont="1" applyFill="1" applyBorder="1" applyAlignment="1">
      <alignment vertical="center" wrapText="1"/>
    </xf>
    <xf numFmtId="0" fontId="14" fillId="36" borderId="1" xfId="0" applyFont="1" applyFill="1" applyBorder="1" applyAlignment="1">
      <alignment horizontal="justify" vertical="center" wrapText="1"/>
    </xf>
    <xf numFmtId="0" fontId="23" fillId="36" borderId="14" xfId="0" applyFont="1" applyFill="1" applyBorder="1" applyAlignment="1">
      <alignment vertical="top" wrapText="1"/>
    </xf>
    <xf numFmtId="0" fontId="11" fillId="36" borderId="1" xfId="0" applyFont="1" applyFill="1" applyBorder="1" applyAlignment="1">
      <alignment horizontal="left" wrapText="1"/>
    </xf>
    <xf numFmtId="0" fontId="11" fillId="36" borderId="14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164" fontId="64" fillId="36" borderId="12" xfId="59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>
      <alignment horizontal="center" vertical="center" wrapText="1"/>
    </xf>
    <xf numFmtId="164" fontId="7" fillId="35" borderId="17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164" fontId="5" fillId="36" borderId="17" xfId="0" applyNumberFormat="1" applyFont="1" applyFill="1" applyBorder="1" applyAlignment="1">
      <alignment horizontal="center" vertical="center" wrapText="1"/>
    </xf>
    <xf numFmtId="164" fontId="7" fillId="36" borderId="17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vertical="center" wrapText="1"/>
    </xf>
    <xf numFmtId="164" fontId="7" fillId="36" borderId="14" xfId="0" applyNumberFormat="1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/>
    </xf>
    <xf numFmtId="164" fontId="5" fillId="36" borderId="12" xfId="0" applyNumberFormat="1" applyFont="1" applyFill="1" applyBorder="1" applyAlignment="1">
      <alignment horizontal="center" vertical="center" wrapText="1"/>
    </xf>
    <xf numFmtId="164" fontId="7" fillId="36" borderId="12" xfId="0" applyNumberFormat="1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164" fontId="7" fillId="36" borderId="15" xfId="0" applyNumberFormat="1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49" fontId="8" fillId="35" borderId="1" xfId="0" applyNumberFormat="1" applyFont="1" applyFill="1" applyBorder="1" applyAlignment="1">
      <alignment horizontal="center"/>
    </xf>
    <xf numFmtId="49" fontId="7" fillId="35" borderId="1" xfId="0" applyNumberFormat="1" applyFont="1" applyFill="1" applyBorder="1" applyAlignment="1">
      <alignment horizontal="center" vertical="center"/>
    </xf>
    <xf numFmtId="164" fontId="7" fillId="35" borderId="1" xfId="0" applyNumberFormat="1" applyFont="1" applyFill="1" applyBorder="1" applyAlignment="1">
      <alignment horizontal="center" vertical="center"/>
    </xf>
    <xf numFmtId="49" fontId="8" fillId="35" borderId="1" xfId="0" applyNumberFormat="1" applyFont="1" applyFill="1" applyBorder="1" applyAlignment="1">
      <alignment horizontal="left"/>
    </xf>
    <xf numFmtId="49" fontId="4" fillId="36" borderId="1" xfId="0" applyNumberFormat="1" applyFont="1" applyFill="1" applyBorder="1" applyAlignment="1">
      <alignment horizontal="center" vertical="center"/>
    </xf>
    <xf numFmtId="49" fontId="5" fillId="36" borderId="1" xfId="0" applyNumberFormat="1" applyFont="1" applyFill="1" applyBorder="1" applyAlignment="1">
      <alignment horizontal="center" vertical="center"/>
    </xf>
    <xf numFmtId="164" fontId="5" fillId="36" borderId="21" xfId="0" applyNumberFormat="1" applyFont="1" applyFill="1" applyBorder="1" applyAlignment="1">
      <alignment horizontal="center" vertical="center" wrapText="1"/>
    </xf>
    <xf numFmtId="164" fontId="5" fillId="36" borderId="1" xfId="0" applyNumberFormat="1" applyFont="1" applyFill="1" applyBorder="1" applyAlignment="1">
      <alignment horizontal="left"/>
    </xf>
    <xf numFmtId="0" fontId="11" fillId="36" borderId="1" xfId="0" applyNumberFormat="1" applyFont="1" applyFill="1" applyBorder="1" applyAlignment="1">
      <alignment horizontal="left" vertical="center" wrapText="1"/>
    </xf>
    <xf numFmtId="164" fontId="7" fillId="36" borderId="1" xfId="0" applyNumberFormat="1" applyFont="1" applyFill="1" applyBorder="1" applyAlignment="1">
      <alignment horizontal="center" vertical="center"/>
    </xf>
    <xf numFmtId="49" fontId="4" fillId="35" borderId="1" xfId="0" applyNumberFormat="1" applyFont="1" applyFill="1" applyBorder="1" applyAlignment="1">
      <alignment horizontal="left" vertical="center" wrapText="1"/>
    </xf>
    <xf numFmtId="0" fontId="5" fillId="35" borderId="1" xfId="0" applyFont="1" applyFill="1" applyBorder="1" applyAlignment="1">
      <alignment horizontal="center" vertical="top" wrapText="1"/>
    </xf>
    <xf numFmtId="0" fontId="5" fillId="35" borderId="1" xfId="0" applyFont="1" applyFill="1" applyBorder="1" applyAlignment="1">
      <alignment horizontal="center" vertical="center" wrapText="1"/>
    </xf>
    <xf numFmtId="164" fontId="7" fillId="35" borderId="14" xfId="0" applyNumberFormat="1" applyFont="1" applyFill="1" applyBorder="1" applyAlignment="1">
      <alignment horizontal="center" vertical="center"/>
    </xf>
    <xf numFmtId="0" fontId="8" fillId="35" borderId="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/>
    </xf>
    <xf numFmtId="166" fontId="7" fillId="35" borderId="1" xfId="59" applyNumberFormat="1" applyFont="1" applyFill="1" applyBorder="1" applyAlignment="1" applyProtection="1">
      <alignment horizontal="center" vertical="center" wrapText="1"/>
      <protection/>
    </xf>
    <xf numFmtId="164" fontId="7" fillId="35" borderId="1" xfId="0" applyNumberFormat="1" applyFont="1" applyFill="1" applyBorder="1" applyAlignment="1">
      <alignment horizontal="center" vertical="top" wrapText="1"/>
    </xf>
    <xf numFmtId="164" fontId="5" fillId="35" borderId="1" xfId="0" applyNumberFormat="1" applyFont="1" applyFill="1" applyBorder="1" applyAlignment="1">
      <alignment vertical="top" wrapText="1"/>
    </xf>
    <xf numFmtId="0" fontId="11" fillId="35" borderId="1" xfId="0" applyFont="1" applyFill="1" applyBorder="1" applyAlignment="1">
      <alignment vertical="top" wrapText="1"/>
    </xf>
    <xf numFmtId="164" fontId="12" fillId="35" borderId="1" xfId="0" applyNumberFormat="1" applyFont="1" applyFill="1" applyBorder="1" applyAlignment="1">
      <alignment horizontal="center" vertical="center" wrapText="1"/>
    </xf>
    <xf numFmtId="164" fontId="5" fillId="35" borderId="1" xfId="0" applyNumberFormat="1" applyFont="1" applyFill="1" applyBorder="1" applyAlignment="1">
      <alignment vertical="center" wrapText="1"/>
    </xf>
    <xf numFmtId="164" fontId="5" fillId="36" borderId="1" xfId="0" applyNumberFormat="1" applyFont="1" applyFill="1" applyBorder="1" applyAlignment="1">
      <alignment vertical="center" wrapText="1"/>
    </xf>
    <xf numFmtId="167" fontId="7" fillId="35" borderId="1" xfId="0" applyNumberFormat="1" applyFont="1" applyFill="1" applyBorder="1" applyAlignment="1">
      <alignment horizontal="center" vertical="center" wrapText="1"/>
    </xf>
    <xf numFmtId="167" fontId="7" fillId="35" borderId="1" xfId="0" applyNumberFormat="1" applyFont="1" applyFill="1" applyBorder="1" applyAlignment="1">
      <alignment horizontal="center" vertical="top" wrapText="1"/>
    </xf>
    <xf numFmtId="167" fontId="7" fillId="35" borderId="1" xfId="0" applyNumberFormat="1" applyFont="1" applyFill="1" applyBorder="1" applyAlignment="1">
      <alignment vertical="top" wrapText="1"/>
    </xf>
    <xf numFmtId="167" fontId="5" fillId="35" borderId="1" xfId="0" applyNumberFormat="1" applyFont="1" applyFill="1" applyBorder="1" applyAlignment="1">
      <alignment horizontal="center" vertical="top" wrapText="1"/>
    </xf>
    <xf numFmtId="164" fontId="7" fillId="36" borderId="1" xfId="0" applyNumberFormat="1" applyFont="1" applyFill="1" applyBorder="1" applyAlignment="1">
      <alignment vertical="center" wrapText="1"/>
    </xf>
    <xf numFmtId="164" fontId="7" fillId="36" borderId="12" xfId="0" applyNumberFormat="1" applyFont="1" applyFill="1" applyBorder="1" applyAlignment="1">
      <alignment vertical="center" wrapText="1"/>
    </xf>
    <xf numFmtId="164" fontId="5" fillId="36" borderId="1" xfId="59" applyNumberFormat="1" applyFont="1" applyFill="1" applyBorder="1" applyAlignment="1" applyProtection="1">
      <alignment horizontal="left" vertical="center" wrapText="1"/>
      <protection/>
    </xf>
    <xf numFmtId="164" fontId="5" fillId="36" borderId="1" xfId="0" applyNumberFormat="1" applyFont="1" applyFill="1" applyBorder="1" applyAlignment="1">
      <alignment horizontal="justify" vertical="center" wrapText="1"/>
    </xf>
    <xf numFmtId="164" fontId="5" fillId="35" borderId="1" xfId="0" applyNumberFormat="1" applyFont="1" applyFill="1" applyBorder="1" applyAlignment="1">
      <alignment horizontal="justify" vertical="center" wrapText="1"/>
    </xf>
    <xf numFmtId="164" fontId="7" fillId="35" borderId="22" xfId="0" applyNumberFormat="1" applyFont="1" applyFill="1" applyBorder="1" applyAlignment="1">
      <alignment horizontal="center" vertical="center" wrapText="1"/>
    </xf>
    <xf numFmtId="164" fontId="7" fillId="35" borderId="23" xfId="0" applyNumberFormat="1" applyFont="1" applyFill="1" applyBorder="1" applyAlignment="1">
      <alignment horizontal="center" vertical="center" wrapText="1"/>
    </xf>
    <xf numFmtId="164" fontId="7" fillId="35" borderId="23" xfId="59" applyNumberFormat="1" applyFont="1" applyFill="1" applyBorder="1" applyAlignment="1" applyProtection="1">
      <alignment horizontal="center" vertical="center" wrapText="1"/>
      <protection/>
    </xf>
    <xf numFmtId="0" fontId="11" fillId="35" borderId="24" xfId="0" applyFont="1" applyFill="1" applyBorder="1" applyAlignment="1">
      <alignment horizontal="center" vertical="center" wrapText="1"/>
    </xf>
    <xf numFmtId="164" fontId="7" fillId="35" borderId="14" xfId="0" applyNumberFormat="1" applyFont="1" applyFill="1" applyBorder="1" applyAlignment="1">
      <alignment horizontal="center" vertical="center" wrapText="1"/>
    </xf>
    <xf numFmtId="164" fontId="5" fillId="35" borderId="14" xfId="0" applyNumberFormat="1" applyFont="1" applyFill="1" applyBorder="1" applyAlignment="1">
      <alignment horizontal="center" vertical="center" wrapText="1"/>
    </xf>
    <xf numFmtId="164" fontId="7" fillId="35" borderId="14" xfId="0" applyNumberFormat="1" applyFont="1" applyFill="1" applyBorder="1" applyAlignment="1">
      <alignment vertical="center" wrapText="1"/>
    </xf>
    <xf numFmtId="0" fontId="11" fillId="35" borderId="25" xfId="0" applyFont="1" applyFill="1" applyBorder="1" applyAlignment="1">
      <alignment horizontal="center" vertical="center" wrapText="1"/>
    </xf>
    <xf numFmtId="164" fontId="7" fillId="35" borderId="1" xfId="0" applyNumberFormat="1" applyFont="1" applyFill="1" applyBorder="1" applyAlignment="1">
      <alignment vertical="center" wrapText="1"/>
    </xf>
    <xf numFmtId="0" fontId="11" fillId="35" borderId="26" xfId="0" applyFont="1" applyFill="1" applyBorder="1" applyAlignment="1">
      <alignment horizontal="center" vertical="center" wrapText="1"/>
    </xf>
    <xf numFmtId="164" fontId="7" fillId="35" borderId="15" xfId="0" applyNumberFormat="1" applyFont="1" applyFill="1" applyBorder="1" applyAlignment="1">
      <alignment horizontal="center" vertical="center" wrapText="1"/>
    </xf>
    <xf numFmtId="164" fontId="7" fillId="35" borderId="15" xfId="0" applyNumberFormat="1" applyFont="1" applyFill="1" applyBorder="1" applyAlignment="1">
      <alignment vertical="center" wrapText="1"/>
    </xf>
    <xf numFmtId="164" fontId="5" fillId="35" borderId="15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164" fontId="7" fillId="35" borderId="28" xfId="0" applyNumberFormat="1" applyFont="1" applyFill="1" applyBorder="1" applyAlignment="1">
      <alignment horizontal="center" vertical="top" wrapText="1"/>
    </xf>
    <xf numFmtId="164" fontId="7" fillId="35" borderId="29" xfId="0" applyNumberFormat="1" applyFont="1" applyFill="1" applyBorder="1" applyAlignment="1">
      <alignment horizontal="center" vertical="top" wrapText="1"/>
    </xf>
    <xf numFmtId="0" fontId="11" fillId="35" borderId="30" xfId="0" applyFont="1" applyFill="1" applyBorder="1" applyAlignment="1">
      <alignment horizontal="center" vertical="center" wrapText="1"/>
    </xf>
    <xf numFmtId="164" fontId="7" fillId="35" borderId="14" xfId="0" applyNumberFormat="1" applyFont="1" applyFill="1" applyBorder="1" applyAlignment="1">
      <alignment horizontal="center" vertical="top" wrapText="1"/>
    </xf>
    <xf numFmtId="164" fontId="5" fillId="35" borderId="14" xfId="0" applyNumberFormat="1" applyFont="1" applyFill="1" applyBorder="1" applyAlignment="1">
      <alignment horizontal="center" vertical="top" wrapText="1"/>
    </xf>
    <xf numFmtId="164" fontId="7" fillId="35" borderId="14" xfId="0" applyNumberFormat="1" applyFont="1" applyFill="1" applyBorder="1" applyAlignment="1">
      <alignment vertical="top" wrapText="1"/>
    </xf>
    <xf numFmtId="164" fontId="7" fillId="35" borderId="1" xfId="0" applyNumberFormat="1" applyFont="1" applyFill="1" applyBorder="1" applyAlignment="1">
      <alignment vertical="top" wrapText="1"/>
    </xf>
    <xf numFmtId="164" fontId="7" fillId="35" borderId="15" xfId="0" applyNumberFormat="1" applyFont="1" applyFill="1" applyBorder="1" applyAlignment="1">
      <alignment horizontal="center" vertical="top" wrapText="1"/>
    </xf>
    <xf numFmtId="164" fontId="5" fillId="35" borderId="15" xfId="0" applyNumberFormat="1" applyFont="1" applyFill="1" applyBorder="1" applyAlignment="1">
      <alignment horizontal="center" vertical="top" wrapText="1"/>
    </xf>
    <xf numFmtId="164" fontId="7" fillId="35" borderId="15" xfId="0" applyNumberFormat="1" applyFont="1" applyFill="1" applyBorder="1" applyAlignment="1">
      <alignment vertical="top" wrapText="1"/>
    </xf>
    <xf numFmtId="0" fontId="11" fillId="35" borderId="31" xfId="0" applyFont="1" applyFill="1" applyBorder="1" applyAlignment="1">
      <alignment horizontal="center" vertical="center" wrapText="1"/>
    </xf>
    <xf numFmtId="164" fontId="7" fillId="36" borderId="29" xfId="0" applyNumberFormat="1" applyFont="1" applyFill="1" applyBorder="1" applyAlignment="1">
      <alignment horizontal="center" vertical="top" wrapText="1"/>
    </xf>
    <xf numFmtId="164" fontId="5" fillId="36" borderId="30" xfId="0" applyNumberFormat="1" applyFont="1" applyFill="1" applyBorder="1" applyAlignment="1">
      <alignment vertical="top" wrapText="1"/>
    </xf>
    <xf numFmtId="164" fontId="7" fillId="36" borderId="14" xfId="0" applyNumberFormat="1" applyFont="1" applyFill="1" applyBorder="1" applyAlignment="1">
      <alignment horizontal="center" vertical="top" wrapText="1"/>
    </xf>
    <xf numFmtId="164" fontId="5" fillId="36" borderId="14" xfId="0" applyNumberFormat="1" applyFont="1" applyFill="1" applyBorder="1" applyAlignment="1">
      <alignment horizontal="center" vertical="top" wrapText="1"/>
    </xf>
    <xf numFmtId="164" fontId="7" fillId="36" borderId="14" xfId="0" applyNumberFormat="1" applyFont="1" applyFill="1" applyBorder="1" applyAlignment="1">
      <alignment vertical="top" wrapText="1"/>
    </xf>
    <xf numFmtId="0" fontId="11" fillId="36" borderId="25" xfId="0" applyFont="1" applyFill="1" applyBorder="1" applyAlignment="1">
      <alignment horizontal="center" vertical="center" wrapText="1"/>
    </xf>
    <xf numFmtId="164" fontId="7" fillId="36" borderId="1" xfId="0" applyNumberFormat="1" applyFont="1" applyFill="1" applyBorder="1" applyAlignment="1">
      <alignment horizontal="center" vertical="top" wrapText="1"/>
    </xf>
    <xf numFmtId="164" fontId="5" fillId="36" borderId="1" xfId="0" applyNumberFormat="1" applyFont="1" applyFill="1" applyBorder="1" applyAlignment="1">
      <alignment horizontal="center" vertical="top" wrapText="1"/>
    </xf>
    <xf numFmtId="164" fontId="7" fillId="36" borderId="1" xfId="0" applyNumberFormat="1" applyFont="1" applyFill="1" applyBorder="1" applyAlignment="1">
      <alignment vertical="top" wrapText="1"/>
    </xf>
    <xf numFmtId="0" fontId="11" fillId="36" borderId="26" xfId="0" applyFont="1" applyFill="1" applyBorder="1" applyAlignment="1">
      <alignment horizontal="center" vertical="center" wrapText="1"/>
    </xf>
    <xf numFmtId="164" fontId="7" fillId="36" borderId="12" xfId="0" applyNumberFormat="1" applyFont="1" applyFill="1" applyBorder="1" applyAlignment="1">
      <alignment horizontal="center" vertical="top" wrapText="1"/>
    </xf>
    <xf numFmtId="164" fontId="5" fillId="36" borderId="12" xfId="0" applyNumberFormat="1" applyFont="1" applyFill="1" applyBorder="1" applyAlignment="1">
      <alignment horizontal="center" vertical="top" wrapText="1"/>
    </xf>
    <xf numFmtId="164" fontId="7" fillId="36" borderId="12" xfId="0" applyNumberFormat="1" applyFont="1" applyFill="1" applyBorder="1" applyAlignment="1">
      <alignment vertical="top" wrapText="1"/>
    </xf>
    <xf numFmtId="164" fontId="7" fillId="36" borderId="15" xfId="0" applyNumberFormat="1" applyFont="1" applyFill="1" applyBorder="1" applyAlignment="1">
      <alignment horizontal="center" vertical="top" wrapText="1"/>
    </xf>
    <xf numFmtId="164" fontId="5" fillId="36" borderId="15" xfId="0" applyNumberFormat="1" applyFont="1" applyFill="1" applyBorder="1" applyAlignment="1">
      <alignment horizontal="center" vertical="top" wrapText="1"/>
    </xf>
    <xf numFmtId="164" fontId="7" fillId="36" borderId="15" xfId="0" applyNumberFormat="1" applyFont="1" applyFill="1" applyBorder="1" applyAlignment="1">
      <alignment vertical="top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64" fontId="7" fillId="35" borderId="33" xfId="0" applyNumberFormat="1" applyFont="1" applyFill="1" applyBorder="1" applyAlignment="1">
      <alignment horizontal="center" vertical="top" wrapText="1"/>
    </xf>
    <xf numFmtId="164" fontId="7" fillId="35" borderId="34" xfId="0" applyNumberFormat="1" applyFont="1" applyFill="1" applyBorder="1" applyAlignment="1">
      <alignment horizontal="center" vertical="top" wrapText="1"/>
    </xf>
    <xf numFmtId="164" fontId="7" fillId="35" borderId="23" xfId="0" applyNumberFormat="1" applyFont="1" applyFill="1" applyBorder="1" applyAlignment="1">
      <alignment horizontal="center" vertical="top" wrapText="1"/>
    </xf>
    <xf numFmtId="164" fontId="5" fillId="35" borderId="24" xfId="0" applyNumberFormat="1" applyFont="1" applyFill="1" applyBorder="1" applyAlignment="1">
      <alignment vertical="top" wrapText="1"/>
    </xf>
    <xf numFmtId="0" fontId="11" fillId="35" borderId="33" xfId="0" applyFont="1" applyFill="1" applyBorder="1" applyAlignment="1">
      <alignment horizontal="center" vertical="center" wrapText="1"/>
    </xf>
    <xf numFmtId="164" fontId="7" fillId="35" borderId="35" xfId="0" applyNumberFormat="1" applyFont="1" applyFill="1" applyBorder="1" applyAlignment="1">
      <alignment vertical="top" wrapText="1"/>
    </xf>
    <xf numFmtId="0" fontId="11" fillId="35" borderId="36" xfId="0" applyFont="1" applyFill="1" applyBorder="1" applyAlignment="1">
      <alignment horizontal="center" vertical="center" wrapText="1"/>
    </xf>
    <xf numFmtId="164" fontId="7" fillId="35" borderId="37" xfId="0" applyNumberFormat="1" applyFont="1" applyFill="1" applyBorder="1" applyAlignment="1">
      <alignment vertical="top" wrapText="1"/>
    </xf>
    <xf numFmtId="164" fontId="7" fillId="35" borderId="12" xfId="0" applyNumberFormat="1" applyFont="1" applyFill="1" applyBorder="1" applyAlignment="1">
      <alignment horizontal="center" vertical="top" wrapText="1"/>
    </xf>
    <xf numFmtId="164" fontId="5" fillId="35" borderId="12" xfId="0" applyNumberFormat="1" applyFont="1" applyFill="1" applyBorder="1" applyAlignment="1">
      <alignment horizontal="center" vertical="top" wrapText="1"/>
    </xf>
    <xf numFmtId="164" fontId="7" fillId="35" borderId="11" xfId="0" applyNumberFormat="1" applyFont="1" applyFill="1" applyBorder="1" applyAlignment="1">
      <alignment vertical="top" wrapText="1"/>
    </xf>
    <xf numFmtId="164" fontId="5" fillId="35" borderId="29" xfId="0" applyNumberFormat="1" applyFont="1" applyFill="1" applyBorder="1" applyAlignment="1">
      <alignment horizontal="center" vertical="top" wrapText="1"/>
    </xf>
    <xf numFmtId="164" fontId="7" fillId="35" borderId="29" xfId="0" applyNumberFormat="1" applyFont="1" applyFill="1" applyBorder="1" applyAlignment="1">
      <alignment vertical="top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164" fontId="7" fillId="35" borderId="12" xfId="0" applyNumberFormat="1" applyFont="1" applyFill="1" applyBorder="1" applyAlignment="1">
      <alignment vertical="top" wrapText="1"/>
    </xf>
    <xf numFmtId="164" fontId="7" fillId="35" borderId="39" xfId="0" applyNumberFormat="1" applyFont="1" applyFill="1" applyBorder="1" applyAlignment="1">
      <alignment horizontal="center" vertical="top" wrapText="1"/>
    </xf>
    <xf numFmtId="164" fontId="5" fillId="35" borderId="30" xfId="0" applyNumberFormat="1" applyFont="1" applyFill="1" applyBorder="1" applyAlignment="1">
      <alignment vertical="top" wrapText="1"/>
    </xf>
    <xf numFmtId="164" fontId="7" fillId="35" borderId="19" xfId="0" applyNumberFormat="1" applyFont="1" applyFill="1" applyBorder="1" applyAlignment="1">
      <alignment horizontal="center" vertical="top" wrapText="1"/>
    </xf>
    <xf numFmtId="164" fontId="7" fillId="35" borderId="18" xfId="0" applyNumberFormat="1" applyFont="1" applyFill="1" applyBorder="1" applyAlignment="1">
      <alignment horizontal="center" vertical="top" wrapText="1"/>
    </xf>
    <xf numFmtId="164" fontId="7" fillId="35" borderId="40" xfId="0" applyNumberFormat="1" applyFont="1" applyFill="1" applyBorder="1" applyAlignment="1">
      <alignment horizontal="center" vertical="top" wrapText="1"/>
    </xf>
    <xf numFmtId="164" fontId="7" fillId="35" borderId="28" xfId="0" applyNumberFormat="1" applyFont="1" applyFill="1" applyBorder="1" applyAlignment="1">
      <alignment horizontal="center" vertical="center" wrapText="1"/>
    </xf>
    <xf numFmtId="164" fontId="7" fillId="35" borderId="29" xfId="0" applyNumberFormat="1" applyFont="1" applyFill="1" applyBorder="1" applyAlignment="1">
      <alignment horizontal="center" vertical="center" wrapText="1"/>
    </xf>
    <xf numFmtId="164" fontId="7" fillId="35" borderId="30" xfId="0" applyNumberFormat="1" applyFont="1" applyFill="1" applyBorder="1" applyAlignment="1">
      <alignment horizontal="center" vertical="center" wrapText="1"/>
    </xf>
    <xf numFmtId="164" fontId="7" fillId="35" borderId="12" xfId="0" applyNumberFormat="1" applyFont="1" applyFill="1" applyBorder="1" applyAlignment="1">
      <alignment horizontal="center" vertical="center" wrapText="1"/>
    </xf>
    <xf numFmtId="164" fontId="5" fillId="35" borderId="12" xfId="0" applyNumberFormat="1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top" wrapText="1"/>
    </xf>
    <xf numFmtId="0" fontId="11" fillId="35" borderId="4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34" xfId="0" applyFont="1" applyFill="1" applyBorder="1" applyAlignment="1">
      <alignment horizontal="center" vertical="top" wrapText="1"/>
    </xf>
    <xf numFmtId="164" fontId="5" fillId="35" borderId="23" xfId="0" applyNumberFormat="1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top" wrapText="1"/>
    </xf>
    <xf numFmtId="0" fontId="4" fillId="35" borderId="30" xfId="0" applyFont="1" applyFill="1" applyBorder="1" applyAlignment="1">
      <alignment horizontal="center" vertical="center" wrapText="1"/>
    </xf>
    <xf numFmtId="164" fontId="7" fillId="35" borderId="21" xfId="0" applyNumberFormat="1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/>
    </xf>
    <xf numFmtId="164" fontId="7" fillId="36" borderId="21" xfId="0" applyNumberFormat="1" applyFont="1" applyFill="1" applyBorder="1" applyAlignment="1">
      <alignment horizontal="center" vertical="center" wrapText="1"/>
    </xf>
    <xf numFmtId="164" fontId="7" fillId="36" borderId="29" xfId="0" applyNumberFormat="1" applyFont="1" applyFill="1" applyBorder="1" applyAlignment="1">
      <alignment horizontal="center" vertical="center" wrapText="1"/>
    </xf>
    <xf numFmtId="164" fontId="5" fillId="36" borderId="29" xfId="0" applyNumberFormat="1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164" fontId="5" fillId="36" borderId="14" xfId="0" applyNumberFormat="1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7" fillId="36" borderId="16" xfId="0" applyNumberFormat="1" applyFont="1" applyFill="1" applyBorder="1" applyAlignment="1">
      <alignment horizontal="center" vertical="top" wrapText="1"/>
    </xf>
    <xf numFmtId="166" fontId="4" fillId="36" borderId="45" xfId="0" applyNumberFormat="1" applyFont="1" applyFill="1" applyBorder="1" applyAlignment="1">
      <alignment horizontal="center" vertical="center" wrapText="1"/>
    </xf>
    <xf numFmtId="0" fontId="7" fillId="36" borderId="18" xfId="0" applyNumberFormat="1" applyFont="1" applyFill="1" applyBorder="1" applyAlignment="1">
      <alignment horizontal="center" vertical="top" wrapText="1"/>
    </xf>
    <xf numFmtId="166" fontId="4" fillId="36" borderId="37" xfId="0" applyNumberFormat="1" applyFont="1" applyFill="1" applyBorder="1" applyAlignment="1">
      <alignment horizontal="center" vertical="center" wrapText="1"/>
    </xf>
    <xf numFmtId="166" fontId="20" fillId="36" borderId="37" xfId="0" applyNumberFormat="1" applyFont="1" applyFill="1" applyBorder="1" applyAlignment="1">
      <alignment horizontal="center" vertical="center" wrapText="1"/>
    </xf>
    <xf numFmtId="0" fontId="7" fillId="36" borderId="1" xfId="0" applyNumberFormat="1" applyFont="1" applyFill="1" applyBorder="1" applyAlignment="1">
      <alignment horizontal="center" vertical="top" wrapText="1"/>
    </xf>
    <xf numFmtId="164" fontId="5" fillId="35" borderId="1" xfId="59" applyNumberFormat="1" applyFont="1" applyFill="1" applyBorder="1" applyAlignment="1" applyProtection="1">
      <alignment horizontal="center" vertical="center" wrapText="1"/>
      <protection/>
    </xf>
    <xf numFmtId="0" fontId="7" fillId="35" borderId="1" xfId="0" applyFont="1" applyFill="1" applyBorder="1" applyAlignment="1">
      <alignment vertical="center" wrapText="1"/>
    </xf>
    <xf numFmtId="164" fontId="22" fillId="35" borderId="1" xfId="59" applyNumberFormat="1" applyFont="1" applyFill="1" applyBorder="1" applyAlignment="1" applyProtection="1">
      <alignment horizontal="center" vertical="center" wrapText="1"/>
      <protection/>
    </xf>
    <xf numFmtId="164" fontId="5" fillId="35" borderId="1" xfId="59" applyNumberFormat="1" applyFont="1" applyFill="1" applyBorder="1" applyAlignment="1" applyProtection="1">
      <alignment horizontal="center" vertical="center"/>
      <protection/>
    </xf>
    <xf numFmtId="164" fontId="7" fillId="35" borderId="12" xfId="59" applyNumberFormat="1" applyFont="1" applyFill="1" applyBorder="1" applyAlignment="1" applyProtection="1">
      <alignment horizontal="center" vertical="center" wrapText="1"/>
      <protection/>
    </xf>
    <xf numFmtId="164" fontId="5" fillId="35" borderId="12" xfId="59" applyNumberFormat="1" applyFont="1" applyFill="1" applyBorder="1" applyAlignment="1" applyProtection="1">
      <alignment horizontal="center" vertical="center" wrapText="1"/>
      <protection/>
    </xf>
    <xf numFmtId="164" fontId="5" fillId="35" borderId="12" xfId="59" applyNumberFormat="1" applyFont="1" applyFill="1" applyBorder="1" applyAlignment="1" applyProtection="1">
      <alignment horizontal="center" vertical="center"/>
      <protection/>
    </xf>
    <xf numFmtId="0" fontId="4" fillId="35" borderId="28" xfId="0" applyFont="1" applyFill="1" applyBorder="1" applyAlignment="1">
      <alignment horizontal="left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7" fillId="35" borderId="29" xfId="59" applyNumberFormat="1" applyFont="1" applyFill="1" applyBorder="1" applyAlignment="1" applyProtection="1">
      <alignment horizontal="center" vertical="center" wrapText="1"/>
      <protection/>
    </xf>
    <xf numFmtId="164" fontId="7" fillId="35" borderId="30" xfId="59" applyNumberFormat="1" applyFont="1" applyFill="1" applyBorder="1" applyAlignment="1" applyProtection="1">
      <alignment horizontal="center" vertical="center" wrapText="1"/>
      <protection/>
    </xf>
    <xf numFmtId="2" fontId="11" fillId="35" borderId="18" xfId="59" applyNumberFormat="1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 vertical="center" wrapText="1"/>
    </xf>
    <xf numFmtId="164" fontId="5" fillId="35" borderId="14" xfId="59" applyNumberFormat="1" applyFont="1" applyFill="1" applyBorder="1" applyAlignment="1" applyProtection="1">
      <alignment horizontal="center" vertical="center" wrapText="1"/>
      <protection/>
    </xf>
    <xf numFmtId="164" fontId="7" fillId="35" borderId="14" xfId="59" applyNumberFormat="1" applyFont="1" applyFill="1" applyBorder="1" applyAlignment="1" applyProtection="1">
      <alignment horizontal="center" vertical="center" wrapText="1"/>
      <protection/>
    </xf>
    <xf numFmtId="2" fontId="4" fillId="35" borderId="1" xfId="59" applyNumberFormat="1" applyFont="1" applyFill="1" applyBorder="1" applyAlignment="1" applyProtection="1">
      <alignment vertical="center" wrapText="1"/>
      <protection/>
    </xf>
    <xf numFmtId="0" fontId="4" fillId="35" borderId="37" xfId="0" applyFont="1" applyFill="1" applyBorder="1" applyAlignment="1">
      <alignment horizontal="left" vertical="center" wrapText="1"/>
    </xf>
    <xf numFmtId="0" fontId="7" fillId="35" borderId="28" xfId="0" applyFont="1" applyFill="1" applyBorder="1" applyAlignment="1">
      <alignment horizontal="center" vertical="center" wrapText="1"/>
    </xf>
    <xf numFmtId="2" fontId="4" fillId="35" borderId="18" xfId="59" applyNumberFormat="1" applyFont="1" applyFill="1" applyBorder="1" applyAlignment="1" applyProtection="1">
      <alignment vertical="center" wrapText="1"/>
      <protection/>
    </xf>
    <xf numFmtId="0" fontId="7" fillId="35" borderId="21" xfId="0" applyFont="1" applyFill="1" applyBorder="1" applyAlignment="1">
      <alignment horizontal="center" vertical="center" wrapText="1"/>
    </xf>
    <xf numFmtId="164" fontId="5" fillId="35" borderId="21" xfId="59" applyNumberFormat="1" applyFont="1" applyFill="1" applyBorder="1" applyAlignment="1" applyProtection="1">
      <alignment horizontal="center" vertical="center" wrapText="1"/>
      <protection/>
    </xf>
    <xf numFmtId="164" fontId="7" fillId="35" borderId="21" xfId="59" applyNumberFormat="1" applyFont="1" applyFill="1" applyBorder="1" applyAlignment="1" applyProtection="1">
      <alignment horizontal="center" vertical="center" wrapText="1"/>
      <protection/>
    </xf>
    <xf numFmtId="2" fontId="11" fillId="35" borderId="18" xfId="59" applyNumberFormat="1" applyFont="1" applyFill="1" applyBorder="1" applyAlignment="1" applyProtection="1">
      <alignment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2" fontId="11" fillId="35" borderId="13" xfId="59" applyNumberFormat="1" applyFont="1" applyFill="1" applyBorder="1" applyAlignment="1" applyProtection="1">
      <alignment vertical="center" wrapText="1"/>
      <protection/>
    </xf>
    <xf numFmtId="0" fontId="11" fillId="35" borderId="12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164" fontId="7" fillId="36" borderId="29" xfId="59" applyNumberFormat="1" applyFont="1" applyFill="1" applyBorder="1" applyAlignment="1" applyProtection="1">
      <alignment horizontal="center" vertical="center" wrapText="1"/>
      <protection/>
    </xf>
    <xf numFmtId="164" fontId="7" fillId="36" borderId="30" xfId="59" applyNumberFormat="1" applyFont="1" applyFill="1" applyBorder="1" applyAlignment="1" applyProtection="1">
      <alignment horizontal="center" vertical="center" wrapText="1"/>
      <protection/>
    </xf>
    <xf numFmtId="2" fontId="11" fillId="36" borderId="33" xfId="59" applyNumberFormat="1" applyFont="1" applyFill="1" applyBorder="1" applyAlignment="1" applyProtection="1">
      <alignment vertical="center" wrapText="1"/>
      <protection/>
    </xf>
    <xf numFmtId="0" fontId="4" fillId="36" borderId="14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 wrapText="1"/>
    </xf>
    <xf numFmtId="164" fontId="5" fillId="36" borderId="14" xfId="59" applyNumberFormat="1" applyFont="1" applyFill="1" applyBorder="1" applyAlignment="1" applyProtection="1">
      <alignment horizontal="center" vertical="center" wrapText="1"/>
      <protection/>
    </xf>
    <xf numFmtId="164" fontId="7" fillId="36" borderId="14" xfId="59" applyNumberFormat="1" applyFont="1" applyFill="1" applyBorder="1" applyAlignment="1" applyProtection="1">
      <alignment horizontal="center" vertical="center" wrapText="1"/>
      <protection/>
    </xf>
    <xf numFmtId="2" fontId="11" fillId="36" borderId="14" xfId="59" applyNumberFormat="1" applyFont="1" applyFill="1" applyBorder="1" applyAlignment="1" applyProtection="1">
      <alignment vertical="center" wrapText="1"/>
      <protection/>
    </xf>
    <xf numFmtId="2" fontId="11" fillId="36" borderId="1" xfId="59" applyNumberFormat="1" applyFont="1" applyFill="1" applyBorder="1" applyAlignment="1" applyProtection="1">
      <alignment vertical="center" wrapText="1"/>
      <protection/>
    </xf>
    <xf numFmtId="164" fontId="5" fillId="36" borderId="1" xfId="59" applyNumberFormat="1" applyFont="1" applyFill="1" applyBorder="1" applyAlignment="1" applyProtection="1">
      <alignment horizontal="center" vertical="top" wrapText="1"/>
      <protection/>
    </xf>
    <xf numFmtId="164" fontId="7" fillId="36" borderId="1" xfId="59" applyNumberFormat="1" applyFont="1" applyFill="1" applyBorder="1" applyAlignment="1" applyProtection="1">
      <alignment horizontal="center" vertical="top" wrapText="1"/>
      <protection/>
    </xf>
    <xf numFmtId="164" fontId="5" fillId="36" borderId="12" xfId="59" applyNumberFormat="1" applyFont="1" applyFill="1" applyBorder="1" applyAlignment="1" applyProtection="1">
      <alignment horizontal="center" vertical="top" wrapText="1"/>
      <protection/>
    </xf>
    <xf numFmtId="164" fontId="7" fillId="36" borderId="12" xfId="59" applyNumberFormat="1" applyFont="1" applyFill="1" applyBorder="1" applyAlignment="1" applyProtection="1">
      <alignment horizontal="center" vertical="top" wrapText="1"/>
      <protection/>
    </xf>
    <xf numFmtId="0" fontId="4" fillId="36" borderId="37" xfId="0" applyFont="1" applyFill="1" applyBorder="1" applyAlignment="1">
      <alignment vertical="center" wrapText="1"/>
    </xf>
    <xf numFmtId="164" fontId="7" fillId="36" borderId="29" xfId="59" applyNumberFormat="1" applyFont="1" applyFill="1" applyBorder="1" applyAlignment="1" applyProtection="1">
      <alignment horizontal="center" vertical="top" wrapText="1"/>
      <protection/>
    </xf>
    <xf numFmtId="164" fontId="7" fillId="36" borderId="30" xfId="59" applyNumberFormat="1" applyFont="1" applyFill="1" applyBorder="1" applyAlignment="1" applyProtection="1">
      <alignment horizontal="center" vertical="top" wrapText="1"/>
      <protection/>
    </xf>
    <xf numFmtId="2" fontId="8" fillId="36" borderId="18" xfId="59" applyNumberFormat="1" applyFont="1" applyFill="1" applyBorder="1" applyAlignment="1" applyProtection="1">
      <alignment horizontal="center" vertical="center" wrapText="1"/>
      <protection/>
    </xf>
    <xf numFmtId="0" fontId="4" fillId="36" borderId="1" xfId="0" applyFont="1" applyFill="1" applyBorder="1" applyAlignment="1">
      <alignment vertical="center" wrapText="1"/>
    </xf>
    <xf numFmtId="0" fontId="5" fillId="36" borderId="14" xfId="0" applyFont="1" applyFill="1" applyBorder="1" applyAlignment="1">
      <alignment horizontal="center" vertical="top" wrapText="1"/>
    </xf>
    <xf numFmtId="164" fontId="5" fillId="36" borderId="14" xfId="59" applyNumberFormat="1" applyFont="1" applyFill="1" applyBorder="1" applyAlignment="1" applyProtection="1">
      <alignment horizontal="center" wrapText="1"/>
      <protection/>
    </xf>
    <xf numFmtId="164" fontId="5" fillId="36" borderId="14" xfId="59" applyNumberFormat="1" applyFont="1" applyFill="1" applyBorder="1" applyAlignment="1" applyProtection="1">
      <alignment horizontal="center" vertical="top" wrapText="1"/>
      <protection/>
    </xf>
    <xf numFmtId="164" fontId="7" fillId="36" borderId="14" xfId="59" applyNumberFormat="1" applyFont="1" applyFill="1" applyBorder="1" applyAlignment="1" applyProtection="1">
      <alignment horizontal="center" vertical="top" wrapText="1"/>
      <protection/>
    </xf>
    <xf numFmtId="2" fontId="8" fillId="36" borderId="1" xfId="59" applyNumberFormat="1" applyFont="1" applyFill="1" applyBorder="1" applyAlignment="1" applyProtection="1">
      <alignment horizontal="center" vertical="center" wrapText="1"/>
      <protection/>
    </xf>
    <xf numFmtId="164" fontId="5" fillId="36" borderId="1" xfId="59" applyNumberFormat="1" applyFont="1" applyFill="1" applyBorder="1" applyAlignment="1" applyProtection="1">
      <alignment horizontal="center" wrapText="1"/>
      <protection/>
    </xf>
    <xf numFmtId="2" fontId="4" fillId="36" borderId="1" xfId="59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>
      <alignment vertical="center" wrapText="1"/>
    </xf>
    <xf numFmtId="164" fontId="5" fillId="36" borderId="12" xfId="59" applyNumberFormat="1" applyFont="1" applyFill="1" applyBorder="1" applyAlignment="1" applyProtection="1">
      <alignment horizontal="center" wrapText="1"/>
      <protection/>
    </xf>
    <xf numFmtId="2" fontId="4" fillId="36" borderId="12" xfId="59" applyNumberFormat="1" applyFont="1" applyFill="1" applyBorder="1" applyAlignment="1" applyProtection="1">
      <alignment horizontal="center" vertical="center" wrapText="1"/>
      <protection/>
    </xf>
    <xf numFmtId="2" fontId="4" fillId="36" borderId="33" xfId="59" applyNumberFormat="1" applyFont="1" applyFill="1" applyBorder="1" applyAlignment="1" applyProtection="1">
      <alignment horizontal="center" vertical="center" wrapText="1"/>
      <protection/>
    </xf>
    <xf numFmtId="0" fontId="4" fillId="36" borderId="46" xfId="0" applyFont="1" applyFill="1" applyBorder="1" applyAlignment="1">
      <alignment vertical="center" wrapText="1"/>
    </xf>
    <xf numFmtId="2" fontId="4" fillId="36" borderId="25" xfId="59" applyNumberFormat="1" applyFont="1" applyFill="1" applyBorder="1" applyAlignment="1" applyProtection="1">
      <alignment horizontal="center" vertical="center" wrapText="1"/>
      <protection/>
    </xf>
    <xf numFmtId="0" fontId="4" fillId="36" borderId="47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top" wrapText="1"/>
    </xf>
    <xf numFmtId="2" fontId="4" fillId="36" borderId="48" xfId="59" applyNumberFormat="1" applyFont="1" applyFill="1" applyBorder="1" applyAlignment="1" applyProtection="1">
      <alignment horizontal="center" vertical="center" wrapText="1"/>
      <protection/>
    </xf>
    <xf numFmtId="0" fontId="4" fillId="36" borderId="28" xfId="0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 vertical="top" wrapText="1"/>
    </xf>
    <xf numFmtId="2" fontId="8" fillId="36" borderId="33" xfId="59" applyNumberFormat="1" applyFont="1" applyFill="1" applyBorder="1" applyAlignment="1" applyProtection="1">
      <alignment horizontal="center" vertical="center" wrapText="1"/>
      <protection/>
    </xf>
    <xf numFmtId="0" fontId="4" fillId="36" borderId="46" xfId="0" applyFont="1" applyFill="1" applyBorder="1" applyAlignment="1">
      <alignment horizontal="left" vertical="center" wrapText="1"/>
    </xf>
    <xf numFmtId="164" fontId="5" fillId="36" borderId="17" xfId="59" applyNumberFormat="1" applyFont="1" applyFill="1" applyBorder="1" applyAlignment="1" applyProtection="1">
      <alignment horizontal="center" vertical="center" wrapText="1"/>
      <protection/>
    </xf>
    <xf numFmtId="2" fontId="4" fillId="36" borderId="26" xfId="59" applyNumberFormat="1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left" vertical="center" wrapText="1"/>
    </xf>
    <xf numFmtId="164" fontId="5" fillId="36" borderId="21" xfId="59" applyNumberFormat="1" applyFont="1" applyFill="1" applyBorder="1" applyAlignment="1" applyProtection="1">
      <alignment horizontal="center" vertical="center" wrapText="1"/>
      <protection/>
    </xf>
    <xf numFmtId="0" fontId="4" fillId="36" borderId="50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left" vertical="center" wrapText="1"/>
    </xf>
    <xf numFmtId="2" fontId="4" fillId="36" borderId="30" xfId="59" applyNumberFormat="1" applyFont="1" applyFill="1" applyBorder="1" applyAlignment="1" applyProtection="1">
      <alignment horizontal="center" vertical="center" wrapText="1"/>
      <protection/>
    </xf>
    <xf numFmtId="0" fontId="23" fillId="36" borderId="37" xfId="0" applyFont="1" applyFill="1" applyBorder="1" applyAlignment="1">
      <alignment vertical="top" wrapText="1"/>
    </xf>
    <xf numFmtId="0" fontId="7" fillId="36" borderId="39" xfId="0" applyFont="1" applyFill="1" applyBorder="1" applyAlignment="1">
      <alignment horizontal="center" vertical="top" wrapText="1"/>
    </xf>
    <xf numFmtId="164" fontId="5" fillId="36" borderId="29" xfId="59" applyNumberFormat="1" applyFont="1" applyFill="1" applyBorder="1" applyAlignment="1" applyProtection="1">
      <alignment horizontal="center" vertical="center" wrapText="1"/>
      <protection/>
    </xf>
    <xf numFmtId="164" fontId="5" fillId="36" borderId="52" xfId="59" applyNumberFormat="1" applyFont="1" applyFill="1" applyBorder="1" applyAlignment="1" applyProtection="1">
      <alignment horizontal="center" vertical="center" wrapText="1"/>
      <protection/>
    </xf>
    <xf numFmtId="164" fontId="5" fillId="36" borderId="39" xfId="59" applyNumberFormat="1" applyFont="1" applyFill="1" applyBorder="1" applyAlignment="1" applyProtection="1">
      <alignment horizontal="center" vertical="center" wrapText="1"/>
      <protection/>
    </xf>
    <xf numFmtId="164" fontId="5" fillId="35" borderId="52" xfId="59" applyNumberFormat="1" applyFont="1" applyFill="1" applyBorder="1" applyAlignment="1" applyProtection="1">
      <alignment horizontal="center" vertical="center" wrapText="1"/>
      <protection/>
    </xf>
    <xf numFmtId="164" fontId="5" fillId="35" borderId="33" xfId="59" applyNumberFormat="1" applyFont="1" applyFill="1" applyBorder="1" applyAlignment="1" applyProtection="1">
      <alignment horizontal="center" vertical="center" wrapText="1"/>
      <protection/>
    </xf>
    <xf numFmtId="164" fontId="5" fillId="35" borderId="39" xfId="59" applyNumberFormat="1" applyFont="1" applyFill="1" applyBorder="1" applyAlignment="1" applyProtection="1">
      <alignment horizontal="center" vertical="center" wrapText="1"/>
      <protection/>
    </xf>
    <xf numFmtId="164" fontId="5" fillId="35" borderId="29" xfId="59" applyNumberFormat="1" applyFont="1" applyFill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>
      <alignment vertical="center" wrapText="1"/>
    </xf>
    <xf numFmtId="0" fontId="4" fillId="35" borderId="53" xfId="0" applyFont="1" applyFill="1" applyBorder="1" applyAlignment="1">
      <alignment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left" vertical="center" wrapText="1"/>
    </xf>
    <xf numFmtId="2" fontId="4" fillId="35" borderId="30" xfId="59" applyNumberFormat="1" applyFont="1" applyFill="1" applyBorder="1" applyAlignment="1" applyProtection="1">
      <alignment horizontal="center" vertical="center" wrapText="1"/>
      <protection/>
    </xf>
    <xf numFmtId="0" fontId="4" fillId="35" borderId="53" xfId="0" applyFont="1" applyFill="1" applyBorder="1" applyAlignment="1">
      <alignment horizontal="left" vertical="center" wrapText="1"/>
    </xf>
    <xf numFmtId="164" fontId="7" fillId="35" borderId="23" xfId="59" applyNumberFormat="1" applyFont="1" applyFill="1" applyBorder="1" applyAlignment="1" applyProtection="1">
      <alignment horizontal="center" vertical="top" wrapText="1"/>
      <protection/>
    </xf>
    <xf numFmtId="164" fontId="7" fillId="35" borderId="24" xfId="59" applyNumberFormat="1" applyFont="1" applyFill="1" applyBorder="1" applyAlignment="1" applyProtection="1">
      <alignment horizontal="center" vertical="top" wrapText="1"/>
      <protection/>
    </xf>
    <xf numFmtId="2" fontId="8" fillId="35" borderId="19" xfId="59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>
      <alignment horizontal="center" vertical="top" wrapText="1"/>
    </xf>
    <xf numFmtId="2" fontId="8" fillId="35" borderId="1" xfId="59" applyNumberFormat="1" applyFont="1" applyFill="1" applyBorder="1" applyAlignment="1" applyProtection="1">
      <alignment horizontal="center" vertical="center" wrapText="1"/>
      <protection/>
    </xf>
    <xf numFmtId="2" fontId="4" fillId="35" borderId="1" xfId="59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vertical="top" wrapText="1"/>
    </xf>
    <xf numFmtId="0" fontId="11" fillId="35" borderId="1" xfId="0" applyFont="1" applyFill="1" applyBorder="1" applyAlignment="1">
      <alignment horizontal="left" vertical="top" wrapText="1"/>
    </xf>
    <xf numFmtId="0" fontId="8" fillId="35" borderId="18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/>
    </xf>
    <xf numFmtId="0" fontId="8" fillId="35" borderId="3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vertical="center"/>
    </xf>
    <xf numFmtId="165" fontId="5" fillId="35" borderId="1" xfId="59" applyFont="1" applyFill="1" applyBorder="1" applyAlignment="1" applyProtection="1">
      <alignment vertical="center"/>
      <protection/>
    </xf>
    <xf numFmtId="171" fontId="5" fillId="35" borderId="1" xfId="59" applyNumberFormat="1" applyFont="1" applyFill="1" applyBorder="1" applyAlignment="1" applyProtection="1">
      <alignment horizontal="center" vertical="center"/>
      <protection/>
    </xf>
    <xf numFmtId="171" fontId="5" fillId="35" borderId="1" xfId="0" applyNumberFormat="1" applyFont="1" applyFill="1" applyBorder="1" applyAlignment="1">
      <alignment horizontal="center" vertical="center"/>
    </xf>
    <xf numFmtId="0" fontId="4" fillId="35" borderId="1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/>
    </xf>
    <xf numFmtId="165" fontId="5" fillId="35" borderId="12" xfId="59" applyFont="1" applyFill="1" applyBorder="1" applyAlignment="1" applyProtection="1">
      <alignment vertical="center"/>
      <protection/>
    </xf>
    <xf numFmtId="171" fontId="5" fillId="35" borderId="12" xfId="59" applyNumberFormat="1" applyFont="1" applyFill="1" applyBorder="1" applyAlignment="1" applyProtection="1">
      <alignment horizontal="center" vertical="center"/>
      <protection/>
    </xf>
    <xf numFmtId="171" fontId="5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164" fontId="5" fillId="35" borderId="17" xfId="59" applyNumberFormat="1" applyFont="1" applyFill="1" applyBorder="1" applyAlignment="1" applyProtection="1">
      <alignment horizontal="center" vertical="center" wrapText="1"/>
      <protection/>
    </xf>
    <xf numFmtId="2" fontId="4" fillId="35" borderId="17" xfId="59" applyNumberFormat="1" applyFont="1" applyFill="1" applyBorder="1" applyAlignment="1" applyProtection="1">
      <alignment horizontal="center" vertical="center" wrapText="1"/>
      <protection/>
    </xf>
    <xf numFmtId="0" fontId="4" fillId="35" borderId="55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164" fontId="5" fillId="35" borderId="15" xfId="59" applyNumberFormat="1" applyFont="1" applyFill="1" applyBorder="1" applyAlignment="1" applyProtection="1">
      <alignment horizontal="center" vertical="center" wrapText="1"/>
      <protection/>
    </xf>
    <xf numFmtId="2" fontId="4" fillId="35" borderId="15" xfId="59" applyNumberFormat="1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>
      <alignment horizontal="left" vertical="top" wrapText="1"/>
    </xf>
    <xf numFmtId="0" fontId="4" fillId="35" borderId="57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2" fontId="4" fillId="35" borderId="14" xfId="59" applyNumberFormat="1" applyFont="1" applyFill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58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center" vertical="center" wrapText="1"/>
    </xf>
    <xf numFmtId="2" fontId="4" fillId="35" borderId="12" xfId="59" applyNumberFormat="1" applyFont="1" applyFill="1" applyBorder="1" applyAlignment="1" applyProtection="1">
      <alignment horizontal="center" vertical="center" wrapText="1"/>
      <protection/>
    </xf>
    <xf numFmtId="0" fontId="8" fillId="35" borderId="33" xfId="0" applyFont="1" applyFill="1" applyBorder="1" applyAlignment="1">
      <alignment horizontal="center" vertical="top" wrapText="1"/>
    </xf>
    <xf numFmtId="0" fontId="7" fillId="35" borderId="39" xfId="0" applyFont="1" applyFill="1" applyBorder="1" applyAlignment="1">
      <alignment horizontal="center" vertical="center" wrapText="1"/>
    </xf>
    <xf numFmtId="2" fontId="8" fillId="35" borderId="29" xfId="59" applyNumberFormat="1" applyFont="1" applyFill="1" applyBorder="1" applyAlignment="1" applyProtection="1">
      <alignment horizontal="center" vertical="center" wrapText="1"/>
      <protection/>
    </xf>
    <xf numFmtId="0" fontId="8" fillId="35" borderId="59" xfId="0" applyFont="1" applyFill="1" applyBorder="1" applyAlignment="1">
      <alignment horizontal="center" vertical="top" wrapText="1"/>
    </xf>
    <xf numFmtId="0" fontId="8" fillId="35" borderId="57" xfId="0" applyFont="1" applyFill="1" applyBorder="1" applyAlignment="1">
      <alignment horizontal="center" vertical="top" wrapText="1"/>
    </xf>
    <xf numFmtId="0" fontId="8" fillId="35" borderId="60" xfId="0" applyFont="1" applyFill="1" applyBorder="1" applyAlignment="1">
      <alignment horizontal="center" vertical="top" wrapText="1"/>
    </xf>
    <xf numFmtId="16" fontId="8" fillId="35" borderId="55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/>
    </xf>
    <xf numFmtId="16" fontId="8" fillId="35" borderId="61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68" fontId="5" fillId="36" borderId="1" xfId="0" applyNumberFormat="1" applyFont="1" applyFill="1" applyBorder="1" applyAlignment="1">
      <alignment horizontal="center"/>
    </xf>
    <xf numFmtId="169" fontId="5" fillId="36" borderId="1" xfId="0" applyNumberFormat="1" applyFont="1" applyFill="1" applyBorder="1" applyAlignment="1">
      <alignment horizontal="center"/>
    </xf>
    <xf numFmtId="166" fontId="5" fillId="36" borderId="12" xfId="59" applyNumberFormat="1" applyFont="1" applyFill="1" applyBorder="1" applyAlignment="1" applyProtection="1">
      <alignment horizontal="center" vertical="center" wrapText="1"/>
      <protection/>
    </xf>
    <xf numFmtId="166" fontId="5" fillId="36" borderId="1" xfId="0" applyNumberFormat="1" applyFont="1" applyFill="1" applyBorder="1" applyAlignment="1">
      <alignment horizontal="center"/>
    </xf>
    <xf numFmtId="166" fontId="5" fillId="36" borderId="1" xfId="0" applyNumberFormat="1" applyFont="1" applyFill="1" applyBorder="1" applyAlignment="1">
      <alignment horizontal="center" vertical="top" wrapText="1"/>
    </xf>
    <xf numFmtId="170" fontId="5" fillId="36" borderId="1" xfId="0" applyNumberFormat="1" applyFont="1" applyFill="1" applyBorder="1" applyAlignment="1">
      <alignment horizontal="center" vertical="center" wrapText="1"/>
    </xf>
    <xf numFmtId="170" fontId="5" fillId="36" borderId="1" xfId="0" applyNumberFormat="1" applyFont="1" applyFill="1" applyBorder="1" applyAlignment="1">
      <alignment horizontal="center" vertical="top" wrapText="1"/>
    </xf>
    <xf numFmtId="174" fontId="5" fillId="36" borderId="1" xfId="0" applyNumberFormat="1" applyFont="1" applyFill="1" applyBorder="1" applyAlignment="1">
      <alignment horizontal="center" vertical="top" wrapText="1"/>
    </xf>
    <xf numFmtId="4" fontId="5" fillId="36" borderId="12" xfId="0" applyNumberFormat="1" applyFont="1" applyFill="1" applyBorder="1" applyAlignment="1">
      <alignment horizontal="center" vertical="top" wrapText="1"/>
    </xf>
    <xf numFmtId="16" fontId="64" fillId="36" borderId="62" xfId="0" applyNumberFormat="1" applyFont="1" applyFill="1" applyBorder="1" applyAlignment="1">
      <alignment horizontal="center" vertical="top" wrapText="1"/>
    </xf>
    <xf numFmtId="0" fontId="65" fillId="36" borderId="39" xfId="0" applyFont="1" applyFill="1" applyBorder="1" applyAlignment="1">
      <alignment horizontal="center" vertical="top" wrapText="1"/>
    </xf>
    <xf numFmtId="164" fontId="65" fillId="36" borderId="29" xfId="0" applyNumberFormat="1" applyFont="1" applyFill="1" applyBorder="1" applyAlignment="1">
      <alignment horizontal="center" vertical="top" wrapText="1"/>
    </xf>
    <xf numFmtId="0" fontId="66" fillId="36" borderId="30" xfId="0" applyFont="1" applyFill="1" applyBorder="1" applyAlignment="1">
      <alignment horizontal="center" vertical="top" wrapText="1"/>
    </xf>
    <xf numFmtId="0" fontId="67" fillId="36" borderId="0" xfId="0" applyFont="1" applyFill="1" applyAlignment="1">
      <alignment/>
    </xf>
    <xf numFmtId="0" fontId="65" fillId="36" borderId="19" xfId="0" applyFont="1" applyFill="1" applyBorder="1" applyAlignment="1">
      <alignment horizontal="center" vertical="top" wrapText="1"/>
    </xf>
    <xf numFmtId="164" fontId="65" fillId="36" borderId="14" xfId="0" applyNumberFormat="1" applyFont="1" applyFill="1" applyBorder="1" applyAlignment="1">
      <alignment horizontal="center" vertical="top" wrapText="1"/>
    </xf>
    <xf numFmtId="164" fontId="64" fillId="36" borderId="14" xfId="0" applyNumberFormat="1" applyFont="1" applyFill="1" applyBorder="1" applyAlignment="1">
      <alignment horizontal="center" vertical="top" wrapText="1"/>
    </xf>
    <xf numFmtId="0" fontId="66" fillId="36" borderId="14" xfId="0" applyFont="1" applyFill="1" applyBorder="1" applyAlignment="1">
      <alignment horizontal="center" vertical="center" wrapText="1"/>
    </xf>
    <xf numFmtId="0" fontId="65" fillId="36" borderId="18" xfId="0" applyFont="1" applyFill="1" applyBorder="1" applyAlignment="1">
      <alignment horizontal="center" vertical="top" wrapText="1"/>
    </xf>
    <xf numFmtId="164" fontId="65" fillId="36" borderId="1" xfId="0" applyNumberFormat="1" applyFont="1" applyFill="1" applyBorder="1" applyAlignment="1">
      <alignment horizontal="center" vertical="top" wrapText="1"/>
    </xf>
    <xf numFmtId="164" fontId="64" fillId="36" borderId="1" xfId="0" applyNumberFormat="1" applyFont="1" applyFill="1" applyBorder="1" applyAlignment="1">
      <alignment horizontal="center" vertical="top" wrapText="1"/>
    </xf>
    <xf numFmtId="0" fontId="66" fillId="36" borderId="1" xfId="0" applyFont="1" applyFill="1" applyBorder="1" applyAlignment="1">
      <alignment horizontal="center" vertical="center" wrapText="1"/>
    </xf>
    <xf numFmtId="0" fontId="65" fillId="36" borderId="13" xfId="0" applyFont="1" applyFill="1" applyBorder="1" applyAlignment="1">
      <alignment horizontal="center" vertical="top" wrapText="1"/>
    </xf>
    <xf numFmtId="164" fontId="65" fillId="36" borderId="12" xfId="0" applyNumberFormat="1" applyFont="1" applyFill="1" applyBorder="1" applyAlignment="1">
      <alignment horizontal="center" vertical="top" wrapText="1"/>
    </xf>
    <xf numFmtId="164" fontId="64" fillId="36" borderId="12" xfId="0" applyNumberFormat="1" applyFont="1" applyFill="1" applyBorder="1" applyAlignment="1">
      <alignment horizontal="center" vertical="top" wrapText="1"/>
    </xf>
    <xf numFmtId="0" fontId="66" fillId="36" borderId="12" xfId="0" applyFont="1" applyFill="1" applyBorder="1" applyAlignment="1">
      <alignment horizontal="center" vertical="center" wrapText="1"/>
    </xf>
    <xf numFmtId="167" fontId="64" fillId="36" borderId="1" xfId="0" applyNumberFormat="1" applyFont="1" applyFill="1" applyBorder="1" applyAlignment="1">
      <alignment horizontal="center" vertical="top" wrapText="1"/>
    </xf>
    <xf numFmtId="167" fontId="67" fillId="36" borderId="0" xfId="0" applyNumberFormat="1" applyFont="1" applyFill="1" applyAlignment="1">
      <alignment/>
    </xf>
    <xf numFmtId="0" fontId="66" fillId="36" borderId="37" xfId="0" applyFont="1" applyFill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center" vertical="center" wrapText="1"/>
    </xf>
    <xf numFmtId="164" fontId="65" fillId="36" borderId="30" xfId="0" applyNumberFormat="1" applyFont="1" applyFill="1" applyBorder="1" applyAlignment="1">
      <alignment horizontal="center" vertical="top" wrapText="1"/>
    </xf>
    <xf numFmtId="0" fontId="68" fillId="36" borderId="0" xfId="0" applyFont="1" applyFill="1" applyAlignment="1">
      <alignment/>
    </xf>
    <xf numFmtId="0" fontId="64" fillId="36" borderId="19" xfId="0" applyFont="1" applyFill="1" applyBorder="1" applyAlignment="1">
      <alignment horizontal="center" vertical="top" wrapText="1"/>
    </xf>
    <xf numFmtId="0" fontId="66" fillId="36" borderId="25" xfId="0" applyFont="1" applyFill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top" wrapText="1"/>
    </xf>
    <xf numFmtId="0" fontId="66" fillId="36" borderId="26" xfId="0" applyFont="1" applyFill="1" applyBorder="1" applyAlignment="1">
      <alignment horizontal="center" vertical="center" wrapText="1"/>
    </xf>
    <xf numFmtId="0" fontId="69" fillId="36" borderId="60" xfId="0" applyFont="1" applyFill="1" applyBorder="1" applyAlignment="1">
      <alignment horizontal="center" vertical="center" wrapText="1"/>
    </xf>
    <xf numFmtId="0" fontId="64" fillId="36" borderId="26" xfId="0" applyFont="1" applyFill="1" applyBorder="1" applyAlignment="1">
      <alignment horizontal="center" vertical="top" wrapText="1"/>
    </xf>
    <xf numFmtId="0" fontId="64" fillId="36" borderId="48" xfId="0" applyFont="1" applyFill="1" applyBorder="1" applyAlignment="1">
      <alignment horizontal="center" vertical="top" wrapText="1"/>
    </xf>
    <xf numFmtId="0" fontId="65" fillId="36" borderId="30" xfId="0" applyFont="1" applyFill="1" applyBorder="1" applyAlignment="1">
      <alignment horizontal="center" vertical="top" wrapText="1"/>
    </xf>
    <xf numFmtId="164" fontId="64" fillId="36" borderId="33" xfId="59" applyNumberFormat="1" applyFont="1" applyFill="1" applyBorder="1" applyAlignment="1" applyProtection="1">
      <alignment horizontal="center" vertical="center" wrapText="1"/>
      <protection/>
    </xf>
    <xf numFmtId="164" fontId="64" fillId="36" borderId="29" xfId="59" applyNumberFormat="1" applyFont="1" applyFill="1" applyBorder="1" applyAlignment="1" applyProtection="1">
      <alignment horizontal="center" vertical="center" wrapText="1"/>
      <protection/>
    </xf>
    <xf numFmtId="4" fontId="64" fillId="35" borderId="1" xfId="0" applyNumberFormat="1" applyFont="1" applyFill="1" applyBorder="1" applyAlignment="1">
      <alignment horizontal="center" vertical="center" wrapText="1"/>
    </xf>
    <xf numFmtId="0" fontId="7" fillId="36" borderId="15" xfId="0" applyNumberFormat="1" applyFont="1" applyFill="1" applyBorder="1" applyAlignment="1">
      <alignment horizontal="center" vertical="top" wrapText="1"/>
    </xf>
    <xf numFmtId="166" fontId="4" fillId="36" borderId="43" xfId="0" applyNumberFormat="1" applyFont="1" applyFill="1" applyBorder="1" applyAlignment="1">
      <alignment horizontal="center" vertical="center" wrapText="1"/>
    </xf>
    <xf numFmtId="164" fontId="7" fillId="35" borderId="17" xfId="59" applyNumberFormat="1" applyFont="1" applyFill="1" applyBorder="1" applyAlignment="1" applyProtection="1">
      <alignment horizontal="center" vertical="center" wrapText="1"/>
      <protection/>
    </xf>
    <xf numFmtId="164" fontId="5" fillId="35" borderId="17" xfId="59" applyNumberFormat="1" applyFont="1" applyFill="1" applyBorder="1" applyAlignment="1" applyProtection="1">
      <alignment horizontal="center" vertical="top" wrapText="1"/>
      <protection/>
    </xf>
    <xf numFmtId="164" fontId="7" fillId="35" borderId="17" xfId="59" applyNumberFormat="1" applyFont="1" applyFill="1" applyBorder="1" applyAlignment="1" applyProtection="1">
      <alignment horizontal="center" vertical="top" wrapText="1"/>
      <protection/>
    </xf>
    <xf numFmtId="2" fontId="4" fillId="35" borderId="41" xfId="59" applyNumberFormat="1" applyFont="1" applyFill="1" applyBorder="1" applyAlignment="1" applyProtection="1">
      <alignment horizontal="center" vertical="center" wrapText="1"/>
      <protection/>
    </xf>
    <xf numFmtId="0" fontId="6" fillId="35" borderId="63" xfId="0" applyFont="1" applyFill="1" applyBorder="1" applyAlignment="1">
      <alignment horizontal="center" vertical="top" wrapText="1"/>
    </xf>
    <xf numFmtId="164" fontId="5" fillId="35" borderId="1" xfId="59" applyNumberFormat="1" applyFont="1" applyFill="1" applyBorder="1" applyAlignment="1" applyProtection="1">
      <alignment horizontal="center" vertical="top" wrapText="1"/>
      <protection/>
    </xf>
    <xf numFmtId="164" fontId="7" fillId="35" borderId="1" xfId="59" applyNumberFormat="1" applyFont="1" applyFill="1" applyBorder="1" applyAlignment="1" applyProtection="1">
      <alignment horizontal="center" vertical="top" wrapText="1"/>
      <protection/>
    </xf>
    <xf numFmtId="2" fontId="4" fillId="35" borderId="26" xfId="59" applyNumberFormat="1" applyFont="1" applyFill="1" applyBorder="1" applyAlignment="1" applyProtection="1">
      <alignment horizontal="center" vertical="center" wrapText="1"/>
      <protection/>
    </xf>
    <xf numFmtId="0" fontId="6" fillId="35" borderId="54" xfId="0" applyFont="1" applyFill="1" applyBorder="1" applyAlignment="1">
      <alignment horizontal="center" vertical="top" wrapText="1"/>
    </xf>
    <xf numFmtId="0" fontId="7" fillId="35" borderId="40" xfId="0" applyFont="1" applyFill="1" applyBorder="1" applyAlignment="1">
      <alignment horizontal="center" vertical="top" wrapText="1"/>
    </xf>
    <xf numFmtId="164" fontId="7" fillId="35" borderId="15" xfId="59" applyNumberFormat="1" applyFont="1" applyFill="1" applyBorder="1" applyAlignment="1" applyProtection="1">
      <alignment horizontal="center" vertical="center" wrapText="1"/>
      <protection/>
    </xf>
    <xf numFmtId="2" fontId="4" fillId="35" borderId="64" xfId="59" applyNumberFormat="1" applyFont="1" applyFill="1" applyBorder="1" applyAlignment="1" applyProtection="1">
      <alignment horizontal="center" vertical="center" wrapText="1"/>
      <protection/>
    </xf>
    <xf numFmtId="0" fontId="0" fillId="35" borderId="38" xfId="0" applyFill="1" applyBorder="1" applyAlignment="1">
      <alignment horizontal="center" vertical="top"/>
    </xf>
    <xf numFmtId="0" fontId="0" fillId="35" borderId="38" xfId="0" applyFont="1" applyFill="1" applyBorder="1" applyAlignment="1">
      <alignment horizontal="center" vertical="top"/>
    </xf>
    <xf numFmtId="0" fontId="6" fillId="35" borderId="53" xfId="0" applyFont="1" applyFill="1" applyBorder="1" applyAlignment="1">
      <alignment vertical="top" wrapText="1"/>
    </xf>
    <xf numFmtId="0" fontId="0" fillId="35" borderId="65" xfId="0" applyFill="1" applyBorder="1" applyAlignment="1">
      <alignment horizontal="left" vertical="top"/>
    </xf>
    <xf numFmtId="0" fontId="0" fillId="35" borderId="65" xfId="0" applyFont="1" applyFill="1" applyBorder="1" applyAlignment="1">
      <alignment horizontal="left" vertical="top"/>
    </xf>
    <xf numFmtId="0" fontId="0" fillId="35" borderId="65" xfId="0" applyFill="1" applyBorder="1" applyAlignment="1">
      <alignment horizontal="left"/>
    </xf>
    <xf numFmtId="0" fontId="6" fillId="35" borderId="66" xfId="0" applyFont="1" applyFill="1" applyBorder="1" applyAlignment="1">
      <alignment horizontal="center" vertical="top" wrapText="1"/>
    </xf>
    <xf numFmtId="0" fontId="0" fillId="35" borderId="18" xfId="0" applyFill="1" applyBorder="1" applyAlignment="1">
      <alignment horizontal="left" vertical="top"/>
    </xf>
    <xf numFmtId="0" fontId="5" fillId="35" borderId="12" xfId="0" applyFont="1" applyFill="1" applyBorder="1" applyAlignment="1">
      <alignment horizontal="center" vertical="top" wrapText="1"/>
    </xf>
    <xf numFmtId="164" fontId="6" fillId="35" borderId="1" xfId="0" applyNumberFormat="1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/>
    </xf>
    <xf numFmtId="164" fontId="19" fillId="35" borderId="1" xfId="0" applyNumberFormat="1" applyFont="1" applyFill="1" applyBorder="1" applyAlignment="1">
      <alignment horizontal="center" vertical="center" wrapText="1"/>
    </xf>
    <xf numFmtId="164" fontId="4" fillId="35" borderId="1" xfId="0" applyNumberFormat="1" applyFont="1" applyFill="1" applyBorder="1" applyAlignment="1">
      <alignment horizontal="center" vertical="top" wrapText="1"/>
    </xf>
    <xf numFmtId="0" fontId="5" fillId="35" borderId="67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horizontal="center" vertical="top" wrapText="1"/>
    </xf>
    <xf numFmtId="16" fontId="5" fillId="35" borderId="1" xfId="0" applyNumberFormat="1" applyFont="1" applyFill="1" applyBorder="1" applyAlignment="1">
      <alignment vertical="center" wrapText="1"/>
    </xf>
    <xf numFmtId="16" fontId="5" fillId="35" borderId="13" xfId="0" applyNumberFormat="1" applyFont="1" applyFill="1" applyBorder="1" applyAlignment="1">
      <alignment horizontal="center" vertical="top" wrapText="1"/>
    </xf>
    <xf numFmtId="164" fontId="3" fillId="35" borderId="1" xfId="0" applyNumberFormat="1" applyFont="1" applyFill="1" applyBorder="1" applyAlignment="1">
      <alignment vertical="center"/>
    </xf>
    <xf numFmtId="0" fontId="12" fillId="35" borderId="1" xfId="0" applyFont="1" applyFill="1" applyBorder="1" applyAlignment="1">
      <alignment horizontal="center" vertical="top" wrapText="1"/>
    </xf>
    <xf numFmtId="164" fontId="7" fillId="35" borderId="12" xfId="0" applyNumberFormat="1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center" vertical="top" wrapText="1"/>
    </xf>
    <xf numFmtId="0" fontId="11" fillId="35" borderId="30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6" fontId="5" fillId="35" borderId="62" xfId="0" applyNumberFormat="1" applyFont="1" applyFill="1" applyBorder="1" applyAlignment="1">
      <alignment horizontal="center" vertical="top" wrapText="1"/>
    </xf>
    <xf numFmtId="0" fontId="4" fillId="35" borderId="30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35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top"/>
    </xf>
    <xf numFmtId="0" fontId="0" fillId="36" borderId="65" xfId="0" applyFill="1" applyBorder="1" applyAlignment="1">
      <alignment/>
    </xf>
    <xf numFmtId="0" fontId="0" fillId="36" borderId="18" xfId="0" applyFill="1" applyBorder="1" applyAlignment="1">
      <alignment/>
    </xf>
    <xf numFmtId="0" fontId="15" fillId="36" borderId="68" xfId="0" applyFont="1" applyFill="1" applyBorder="1" applyAlignment="1">
      <alignment/>
    </xf>
    <xf numFmtId="0" fontId="4" fillId="36" borderId="69" xfId="0" applyFont="1" applyFill="1" applyBorder="1" applyAlignment="1">
      <alignment horizontal="center" vertical="top" wrapText="1"/>
    </xf>
    <xf numFmtId="0" fontId="4" fillId="36" borderId="41" xfId="0" applyFont="1" applyFill="1" applyBorder="1" applyAlignment="1">
      <alignment horizontal="center" vertical="top" wrapText="1"/>
    </xf>
    <xf numFmtId="0" fontId="4" fillId="36" borderId="26" xfId="0" applyFont="1" applyFill="1" applyBorder="1" applyAlignment="1">
      <alignment horizontal="center" vertical="top" wrapText="1"/>
    </xf>
    <xf numFmtId="0" fontId="4" fillId="36" borderId="63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4" fillId="36" borderId="48" xfId="0" applyFont="1" applyFill="1" applyBorder="1" applyAlignment="1">
      <alignment horizontal="center" vertical="top" wrapText="1"/>
    </xf>
    <xf numFmtId="0" fontId="0" fillId="36" borderId="0" xfId="0" applyFill="1" applyBorder="1" applyAlignment="1">
      <alignment/>
    </xf>
    <xf numFmtId="0" fontId="0" fillId="36" borderId="70" xfId="0" applyFill="1" applyBorder="1" applyAlignment="1">
      <alignment/>
    </xf>
    <xf numFmtId="0" fontId="7" fillId="36" borderId="40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horizontal="center" vertical="top" wrapText="1"/>
    </xf>
    <xf numFmtId="164" fontId="5" fillId="36" borderId="17" xfId="0" applyNumberFormat="1" applyFont="1" applyFill="1" applyBorder="1" applyAlignment="1">
      <alignment horizontal="center" vertical="top" wrapText="1"/>
    </xf>
    <xf numFmtId="0" fontId="4" fillId="36" borderId="71" xfId="0" applyFont="1" applyFill="1" applyBorder="1" applyAlignment="1">
      <alignment vertical="top" wrapText="1"/>
    </xf>
    <xf numFmtId="0" fontId="21" fillId="36" borderId="0" xfId="0" applyFont="1" applyFill="1" applyAlignment="1">
      <alignment/>
    </xf>
    <xf numFmtId="164" fontId="5" fillId="36" borderId="23" xfId="0" applyNumberFormat="1" applyFont="1" applyFill="1" applyBorder="1" applyAlignment="1">
      <alignment horizontal="center" vertical="top" wrapText="1"/>
    </xf>
    <xf numFmtId="0" fontId="4" fillId="36" borderId="24" xfId="0" applyFont="1" applyFill="1" applyBorder="1" applyAlignment="1">
      <alignment horizontal="center" vertical="top" wrapText="1"/>
    </xf>
    <xf numFmtId="164" fontId="7" fillId="36" borderId="37" xfId="0" applyNumberFormat="1" applyFont="1" applyFill="1" applyBorder="1" applyAlignment="1">
      <alignment horizontal="center" vertical="top" wrapText="1"/>
    </xf>
    <xf numFmtId="164" fontId="7" fillId="36" borderId="43" xfId="0" applyNumberFormat="1" applyFont="1" applyFill="1" applyBorder="1" applyAlignment="1">
      <alignment horizontal="center" vertical="top" wrapText="1"/>
    </xf>
    <xf numFmtId="0" fontId="5" fillId="36" borderId="35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7" fillId="36" borderId="72" xfId="0" applyFont="1" applyFill="1" applyBorder="1" applyAlignment="1">
      <alignment horizontal="center" vertical="top" wrapText="1"/>
    </xf>
    <xf numFmtId="164" fontId="7" fillId="36" borderId="73" xfId="0" applyNumberFormat="1" applyFont="1" applyFill="1" applyBorder="1" applyAlignment="1">
      <alignment horizontal="center" vertical="top" wrapText="1"/>
    </xf>
    <xf numFmtId="167" fontId="5" fillId="36" borderId="1" xfId="0" applyNumberFormat="1" applyFont="1" applyFill="1" applyBorder="1" applyAlignment="1">
      <alignment horizontal="center" vertical="top" wrapText="1"/>
    </xf>
    <xf numFmtId="0" fontId="3" fillId="37" borderId="0" xfId="0" applyFont="1" applyFill="1" applyAlignment="1">
      <alignment/>
    </xf>
    <xf numFmtId="0" fontId="4" fillId="36" borderId="12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top" wrapText="1"/>
    </xf>
    <xf numFmtId="0" fontId="4" fillId="35" borderId="1" xfId="0" applyFont="1" applyFill="1" applyBorder="1" applyAlignment="1">
      <alignment horizontal="center" vertical="top" wrapText="1"/>
    </xf>
    <xf numFmtId="0" fontId="7" fillId="36" borderId="67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left" vertical="center"/>
    </xf>
    <xf numFmtId="0" fontId="6" fillId="36" borderId="67" xfId="0" applyFont="1" applyFill="1" applyBorder="1" applyAlignment="1">
      <alignment horizontal="center" vertical="top"/>
    </xf>
    <xf numFmtId="2" fontId="11" fillId="36" borderId="14" xfId="59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horizontal="left" vertical="top" wrapText="1"/>
    </xf>
    <xf numFmtId="0" fontId="7" fillId="35" borderId="1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7" fillId="36" borderId="1" xfId="0" applyFont="1" applyFill="1" applyBorder="1" applyAlignment="1">
      <alignment horizontal="center" vertical="top" wrapText="1"/>
    </xf>
    <xf numFmtId="2" fontId="11" fillId="36" borderId="1" xfId="59" applyNumberFormat="1" applyFont="1" applyFill="1" applyBorder="1" applyAlignment="1" applyProtection="1">
      <alignment horizontal="center" vertical="center" wrapText="1"/>
      <protection/>
    </xf>
    <xf numFmtId="0" fontId="4" fillId="36" borderId="1" xfId="0" applyFont="1" applyFill="1" applyBorder="1" applyAlignment="1">
      <alignment horizontal="center" vertical="center" wrapText="1"/>
    </xf>
    <xf numFmtId="0" fontId="4" fillId="36" borderId="1" xfId="0" applyFont="1" applyFill="1" applyBorder="1" applyAlignment="1">
      <alignment horizontal="left" vertical="center" wrapText="1"/>
    </xf>
    <xf numFmtId="0" fontId="7" fillId="36" borderId="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top" wrapText="1"/>
    </xf>
    <xf numFmtId="2" fontId="11" fillId="35" borderId="1" xfId="59" applyNumberFormat="1" applyFont="1" applyFill="1" applyBorder="1" applyAlignment="1" applyProtection="1">
      <alignment horizontal="center" vertical="center" wrapText="1"/>
      <protection/>
    </xf>
    <xf numFmtId="0" fontId="4" fillId="35" borderId="1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center" vertical="top" wrapText="1"/>
    </xf>
    <xf numFmtId="164" fontId="7" fillId="35" borderId="30" xfId="0" applyNumberFormat="1" applyFont="1" applyFill="1" applyBorder="1" applyAlignment="1">
      <alignment horizontal="center" vertical="top" wrapText="1"/>
    </xf>
    <xf numFmtId="0" fontId="7" fillId="36" borderId="28" xfId="0" applyFont="1" applyFill="1" applyBorder="1" applyAlignment="1">
      <alignment horizontal="center" vertical="top" wrapText="1"/>
    </xf>
    <xf numFmtId="164" fontId="7" fillId="36" borderId="52" xfId="0" applyNumberFormat="1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164" fontId="7" fillId="36" borderId="1" xfId="0" applyNumberFormat="1" applyFont="1" applyFill="1" applyBorder="1" applyAlignment="1">
      <alignment horizontal="center" vertical="center" wrapText="1"/>
    </xf>
    <xf numFmtId="164" fontId="5" fillId="36" borderId="1" xfId="0" applyNumberFormat="1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164" fontId="7" fillId="35" borderId="1" xfId="0" applyNumberFormat="1" applyFont="1" applyFill="1" applyBorder="1" applyAlignment="1">
      <alignment horizontal="center" vertical="center" wrapText="1"/>
    </xf>
    <xf numFmtId="164" fontId="5" fillId="35" borderId="1" xfId="0" applyNumberFormat="1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center" wrapText="1"/>
    </xf>
    <xf numFmtId="164" fontId="5" fillId="35" borderId="1" xfId="0" applyNumberFormat="1" applyFont="1" applyFill="1" applyBorder="1" applyAlignment="1">
      <alignment horizontal="center" vertical="top" wrapText="1"/>
    </xf>
    <xf numFmtId="0" fontId="11" fillId="35" borderId="1" xfId="0" applyFont="1" applyFill="1" applyBorder="1" applyAlignment="1">
      <alignment horizontal="center" vertical="top" wrapText="1"/>
    </xf>
    <xf numFmtId="164" fontId="7" fillId="35" borderId="1" xfId="59" applyNumberFormat="1" applyFont="1" applyFill="1" applyBorder="1" applyAlignment="1" applyProtection="1">
      <alignment horizontal="center" vertical="center" wrapText="1"/>
      <protection/>
    </xf>
    <xf numFmtId="49" fontId="4" fillId="35" borderId="1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top" wrapText="1"/>
    </xf>
    <xf numFmtId="165" fontId="5" fillId="35" borderId="21" xfId="59" applyFont="1" applyFill="1" applyBorder="1" applyAlignment="1" applyProtection="1">
      <alignment wrapText="1"/>
      <protection/>
    </xf>
    <xf numFmtId="0" fontId="7" fillId="36" borderId="34" xfId="0" applyFont="1" applyFill="1" applyBorder="1" applyAlignment="1">
      <alignment horizontal="center" vertical="center" wrapText="1"/>
    </xf>
    <xf numFmtId="164" fontId="5" fillId="36" borderId="74" xfId="0" applyNumberFormat="1" applyFont="1" applyFill="1" applyBorder="1" applyAlignment="1">
      <alignment horizontal="center" vertical="center" wrapText="1"/>
    </xf>
    <xf numFmtId="164" fontId="7" fillId="36" borderId="23" xfId="0" applyNumberFormat="1" applyFont="1" applyFill="1" applyBorder="1" applyAlignment="1">
      <alignment horizontal="center" vertical="center" wrapText="1"/>
    </xf>
    <xf numFmtId="164" fontId="5" fillId="36" borderId="23" xfId="0" applyNumberFormat="1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164" fontId="7" fillId="36" borderId="67" xfId="0" applyNumberFormat="1" applyFont="1" applyFill="1" applyBorder="1" applyAlignment="1">
      <alignment horizontal="center" vertical="center" wrapText="1"/>
    </xf>
    <xf numFmtId="164" fontId="5" fillId="36" borderId="67" xfId="0" applyNumberFormat="1" applyFont="1" applyFill="1" applyBorder="1" applyAlignment="1">
      <alignment horizontal="center" vertical="center" wrapText="1"/>
    </xf>
    <xf numFmtId="0" fontId="4" fillId="36" borderId="67" xfId="0" applyFont="1" applyFill="1" applyBorder="1" applyAlignment="1">
      <alignment horizontal="center" vertical="center" wrapText="1"/>
    </xf>
    <xf numFmtId="49" fontId="7" fillId="36" borderId="75" xfId="0" applyNumberFormat="1" applyFont="1" applyFill="1" applyBorder="1" applyAlignment="1">
      <alignment horizontal="center" vertical="top"/>
    </xf>
    <xf numFmtId="0" fontId="7" fillId="36" borderId="76" xfId="0" applyFont="1" applyFill="1" applyBorder="1" applyAlignment="1">
      <alignment horizontal="center" vertical="top" wrapText="1"/>
    </xf>
    <xf numFmtId="164" fontId="7" fillId="36" borderId="76" xfId="0" applyNumberFormat="1" applyFont="1" applyFill="1" applyBorder="1" applyAlignment="1">
      <alignment horizontal="center" vertical="center" wrapText="1"/>
    </xf>
    <xf numFmtId="2" fontId="11" fillId="36" borderId="76" xfId="59" applyNumberFormat="1" applyFont="1" applyFill="1" applyBorder="1" applyAlignment="1" applyProtection="1">
      <alignment vertical="center" wrapText="1"/>
      <protection/>
    </xf>
    <xf numFmtId="0" fontId="8" fillId="36" borderId="77" xfId="0" applyFont="1" applyFill="1" applyBorder="1" applyAlignment="1">
      <alignment horizontal="left" vertical="top" wrapText="1"/>
    </xf>
    <xf numFmtId="0" fontId="7" fillId="36" borderId="78" xfId="0" applyFont="1" applyFill="1" applyBorder="1" applyAlignment="1">
      <alignment horizontal="center" vertical="top"/>
    </xf>
    <xf numFmtId="0" fontId="4" fillId="36" borderId="79" xfId="0" applyFont="1" applyFill="1" applyBorder="1" applyAlignment="1">
      <alignment horizontal="left" vertical="top" wrapText="1"/>
    </xf>
    <xf numFmtId="0" fontId="7" fillId="36" borderId="80" xfId="0" applyFont="1" applyFill="1" applyBorder="1" applyAlignment="1">
      <alignment horizontal="center" vertical="top"/>
    </xf>
    <xf numFmtId="0" fontId="7" fillId="36" borderId="81" xfId="0" applyFont="1" applyFill="1" applyBorder="1" applyAlignment="1">
      <alignment horizontal="center" vertical="center" wrapText="1"/>
    </xf>
    <xf numFmtId="164" fontId="7" fillId="36" borderId="81" xfId="0" applyNumberFormat="1" applyFont="1" applyFill="1" applyBorder="1" applyAlignment="1">
      <alignment horizontal="center" vertical="center" wrapText="1"/>
    </xf>
    <xf numFmtId="164" fontId="5" fillId="36" borderId="81" xfId="0" applyNumberFormat="1" applyFont="1" applyFill="1" applyBorder="1" applyAlignment="1">
      <alignment horizontal="center" vertical="center" wrapText="1"/>
    </xf>
    <xf numFmtId="0" fontId="4" fillId="36" borderId="81" xfId="0" applyFont="1" applyFill="1" applyBorder="1" applyAlignment="1">
      <alignment horizontal="center" vertical="center" wrapText="1"/>
    </xf>
    <xf numFmtId="0" fontId="4" fillId="36" borderId="82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2" fontId="4" fillId="35" borderId="83" xfId="59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NumberFormat="1" applyFont="1" applyFill="1" applyBorder="1" applyAlignment="1">
      <alignment horizontal="center" vertical="top" wrapText="1"/>
    </xf>
    <xf numFmtId="166" fontId="4" fillId="36" borderId="11" xfId="0" applyNumberFormat="1" applyFont="1" applyFill="1" applyBorder="1" applyAlignment="1">
      <alignment horizontal="center" vertical="center" wrapText="1"/>
    </xf>
    <xf numFmtId="0" fontId="4" fillId="36" borderId="84" xfId="0" applyFont="1" applyFill="1" applyBorder="1" applyAlignment="1">
      <alignment horizontal="center" vertical="center" wrapText="1"/>
    </xf>
    <xf numFmtId="164" fontId="7" fillId="36" borderId="85" xfId="0" applyNumberFormat="1" applyFont="1" applyFill="1" applyBorder="1" applyAlignment="1">
      <alignment horizontal="center" vertical="top" wrapText="1"/>
    </xf>
    <xf numFmtId="164" fontId="7" fillId="36" borderId="86" xfId="0" applyNumberFormat="1" applyFont="1" applyFill="1" applyBorder="1" applyAlignment="1">
      <alignment horizontal="center" vertical="top" wrapText="1"/>
    </xf>
    <xf numFmtId="164" fontId="7" fillId="36" borderId="87" xfId="0" applyNumberFormat="1" applyFont="1" applyFill="1" applyBorder="1" applyAlignment="1">
      <alignment horizontal="center" vertical="top" wrapText="1"/>
    </xf>
    <xf numFmtId="164" fontId="7" fillId="36" borderId="88" xfId="0" applyNumberFormat="1" applyFont="1" applyFill="1" applyBorder="1" applyAlignment="1">
      <alignment horizontal="center" vertical="top" wrapText="1"/>
    </xf>
    <xf numFmtId="0" fontId="7" fillId="36" borderId="89" xfId="0" applyFont="1" applyFill="1" applyBorder="1" applyAlignment="1">
      <alignment horizontal="center" vertical="top"/>
    </xf>
    <xf numFmtId="0" fontId="7" fillId="36" borderId="90" xfId="0" applyFont="1" applyFill="1" applyBorder="1" applyAlignment="1">
      <alignment horizontal="center" vertical="top"/>
    </xf>
    <xf numFmtId="0" fontId="7" fillId="36" borderId="91" xfId="0" applyFont="1" applyFill="1" applyBorder="1" applyAlignment="1">
      <alignment horizontal="center" vertical="top"/>
    </xf>
    <xf numFmtId="0" fontId="7" fillId="36" borderId="92" xfId="0" applyFont="1" applyFill="1" applyBorder="1" applyAlignment="1">
      <alignment horizontal="center" vertical="top" wrapText="1"/>
    </xf>
    <xf numFmtId="0" fontId="7" fillId="36" borderId="93" xfId="0" applyFont="1" applyFill="1" applyBorder="1" applyAlignment="1">
      <alignment horizontal="center" vertical="top" wrapText="1"/>
    </xf>
    <xf numFmtId="0" fontId="7" fillId="36" borderId="94" xfId="0" applyFont="1" applyFill="1" applyBorder="1" applyAlignment="1">
      <alignment horizontal="center" vertical="top" wrapText="1"/>
    </xf>
    <xf numFmtId="0" fontId="7" fillId="36" borderId="95" xfId="0" applyFont="1" applyFill="1" applyBorder="1" applyAlignment="1">
      <alignment horizontal="center" vertical="top" wrapText="1"/>
    </xf>
    <xf numFmtId="164" fontId="7" fillId="36" borderId="96" xfId="0" applyNumberFormat="1" applyFont="1" applyFill="1" applyBorder="1" applyAlignment="1">
      <alignment horizontal="center" vertical="top" wrapText="1"/>
    </xf>
    <xf numFmtId="164" fontId="7" fillId="36" borderId="97" xfId="0" applyNumberFormat="1" applyFont="1" applyFill="1" applyBorder="1" applyAlignment="1">
      <alignment horizontal="center" vertical="top" wrapText="1"/>
    </xf>
    <xf numFmtId="16" fontId="64" fillId="36" borderId="98" xfId="0" applyNumberFormat="1" applyFont="1" applyFill="1" applyBorder="1" applyAlignment="1">
      <alignment horizontal="center" vertical="top" wrapText="1"/>
    </xf>
    <xf numFmtId="16" fontId="64" fillId="36" borderId="99" xfId="0" applyNumberFormat="1" applyFont="1" applyFill="1" applyBorder="1" applyAlignment="1">
      <alignment horizontal="center" vertical="center" wrapText="1"/>
    </xf>
    <xf numFmtId="16" fontId="64" fillId="36" borderId="100" xfId="0" applyNumberFormat="1" applyFont="1" applyFill="1" applyBorder="1" applyAlignment="1">
      <alignment horizontal="center" vertical="center" wrapText="1"/>
    </xf>
    <xf numFmtId="16" fontId="64" fillId="36" borderId="101" xfId="0" applyNumberFormat="1" applyFont="1" applyFill="1" applyBorder="1" applyAlignment="1">
      <alignment horizontal="center" vertical="center" wrapText="1"/>
    </xf>
    <xf numFmtId="164" fontId="65" fillId="36" borderId="19" xfId="0" applyNumberFormat="1" applyFont="1" applyFill="1" applyBorder="1" applyAlignment="1">
      <alignment horizontal="center" vertical="top" wrapText="1"/>
    </xf>
    <xf numFmtId="164" fontId="65" fillId="36" borderId="18" xfId="0" applyNumberFormat="1" applyFont="1" applyFill="1" applyBorder="1" applyAlignment="1">
      <alignment horizontal="center" vertical="top" wrapText="1"/>
    </xf>
    <xf numFmtId="167" fontId="65" fillId="36" borderId="18" xfId="0" applyNumberFormat="1" applyFont="1" applyFill="1" applyBorder="1" applyAlignment="1">
      <alignment horizontal="center" vertical="top" wrapText="1"/>
    </xf>
    <xf numFmtId="0" fontId="65" fillId="36" borderId="67" xfId="0" applyFont="1" applyFill="1" applyBorder="1" applyAlignment="1">
      <alignment vertical="top" wrapText="1"/>
    </xf>
    <xf numFmtId="0" fontId="65" fillId="36" borderId="102" xfId="0" applyFont="1" applyFill="1" applyBorder="1" applyAlignment="1">
      <alignment horizontal="center" vertical="top" wrapText="1"/>
    </xf>
    <xf numFmtId="0" fontId="65" fillId="36" borderId="67" xfId="0" applyFont="1" applyFill="1" applyBorder="1" applyAlignment="1">
      <alignment horizontal="center" vertical="top" wrapText="1"/>
    </xf>
    <xf numFmtId="164" fontId="64" fillId="36" borderId="21" xfId="0" applyNumberFormat="1" applyFont="1" applyFill="1" applyBorder="1" applyAlignment="1">
      <alignment horizontal="center" vertical="top" wrapText="1"/>
    </xf>
    <xf numFmtId="16" fontId="64" fillId="36" borderId="67" xfId="0" applyNumberFormat="1" applyFont="1" applyFill="1" applyBorder="1" applyAlignment="1">
      <alignment horizontal="center" vertical="top" wrapText="1"/>
    </xf>
    <xf numFmtId="16" fontId="64" fillId="36" borderId="70" xfId="0" applyNumberFormat="1" applyFont="1" applyFill="1" applyBorder="1" applyAlignment="1">
      <alignment horizontal="center" vertical="top" wrapText="1"/>
    </xf>
    <xf numFmtId="0" fontId="65" fillId="36" borderId="103" xfId="0" applyFont="1" applyFill="1" applyBorder="1" applyAlignment="1">
      <alignment horizontal="center" vertical="top" wrapText="1"/>
    </xf>
    <xf numFmtId="164" fontId="65" fillId="36" borderId="34" xfId="0" applyNumberFormat="1" applyFont="1" applyFill="1" applyBorder="1" applyAlignment="1">
      <alignment horizontal="center" vertical="center" wrapText="1"/>
    </xf>
    <xf numFmtId="164" fontId="65" fillId="36" borderId="23" xfId="0" applyNumberFormat="1" applyFont="1" applyFill="1" applyBorder="1" applyAlignment="1">
      <alignment horizontal="center" vertical="center" wrapText="1"/>
    </xf>
    <xf numFmtId="164" fontId="65" fillId="36" borderId="23" xfId="0" applyNumberFormat="1" applyFont="1" applyFill="1" applyBorder="1" applyAlignment="1">
      <alignment horizontal="center" vertical="top" wrapText="1"/>
    </xf>
    <xf numFmtId="0" fontId="66" fillId="36" borderId="66" xfId="0" applyFont="1" applyFill="1" applyBorder="1" applyAlignment="1">
      <alignment horizontal="center" vertical="center" wrapText="1"/>
    </xf>
    <xf numFmtId="16" fontId="64" fillId="36" borderId="104" xfId="0" applyNumberFormat="1" applyFont="1" applyFill="1" applyBorder="1" applyAlignment="1">
      <alignment horizontal="center" vertical="top" wrapText="1"/>
    </xf>
    <xf numFmtId="0" fontId="65" fillId="36" borderId="76" xfId="0" applyFont="1" applyFill="1" applyBorder="1" applyAlignment="1">
      <alignment horizontal="center" vertical="top" wrapText="1"/>
    </xf>
    <xf numFmtId="164" fontId="65" fillId="36" borderId="105" xfId="0" applyNumberFormat="1" applyFont="1" applyFill="1" applyBorder="1" applyAlignment="1">
      <alignment horizontal="center" vertical="top" wrapText="1"/>
    </xf>
    <xf numFmtId="164" fontId="65" fillId="36" borderId="106" xfId="0" applyNumberFormat="1" applyFont="1" applyFill="1" applyBorder="1" applyAlignment="1">
      <alignment horizontal="center" vertical="top" wrapText="1"/>
    </xf>
    <xf numFmtId="0" fontId="66" fillId="36" borderId="107" xfId="0" applyFont="1" applyFill="1" applyBorder="1" applyAlignment="1">
      <alignment horizontal="center" vertical="center" wrapText="1"/>
    </xf>
    <xf numFmtId="16" fontId="64" fillId="36" borderId="108" xfId="0" applyNumberFormat="1" applyFont="1" applyFill="1" applyBorder="1" applyAlignment="1">
      <alignment horizontal="center" vertical="top" wrapText="1"/>
    </xf>
    <xf numFmtId="0" fontId="66" fillId="36" borderId="109" xfId="0" applyFont="1" applyFill="1" applyBorder="1" applyAlignment="1">
      <alignment horizontal="center" vertical="center" wrapText="1"/>
    </xf>
    <xf numFmtId="0" fontId="66" fillId="36" borderId="87" xfId="0" applyFont="1" applyFill="1" applyBorder="1" applyAlignment="1">
      <alignment horizontal="center" vertical="center" wrapText="1"/>
    </xf>
    <xf numFmtId="0" fontId="64" fillId="36" borderId="108" xfId="0" applyNumberFormat="1" applyFont="1" applyFill="1" applyBorder="1" applyAlignment="1">
      <alignment horizontal="center" vertical="top" wrapText="1"/>
    </xf>
    <xf numFmtId="16" fontId="64" fillId="36" borderId="110" xfId="0" applyNumberFormat="1" applyFont="1" applyFill="1" applyBorder="1" applyAlignment="1">
      <alignment horizontal="center" vertical="top" wrapText="1"/>
    </xf>
    <xf numFmtId="0" fontId="65" fillId="36" borderId="81" xfId="0" applyFont="1" applyFill="1" applyBorder="1" applyAlignment="1">
      <alignment vertical="top" wrapText="1"/>
    </xf>
    <xf numFmtId="164" fontId="65" fillId="36" borderId="111" xfId="0" applyNumberFormat="1" applyFont="1" applyFill="1" applyBorder="1" applyAlignment="1">
      <alignment horizontal="center" vertical="top" wrapText="1"/>
    </xf>
    <xf numFmtId="164" fontId="64" fillId="36" borderId="96" xfId="0" applyNumberFormat="1" applyFont="1" applyFill="1" applyBorder="1" applyAlignment="1">
      <alignment horizontal="center" vertical="top" wrapText="1"/>
    </xf>
    <xf numFmtId="164" fontId="5" fillId="36" borderId="96" xfId="0" applyNumberFormat="1" applyFont="1" applyFill="1" applyBorder="1" applyAlignment="1">
      <alignment horizontal="center" vertical="top" wrapText="1"/>
    </xf>
    <xf numFmtId="0" fontId="66" fillId="36" borderId="97" xfId="0" applyFont="1" applyFill="1" applyBorder="1" applyAlignment="1">
      <alignment horizontal="center" vertical="center" wrapText="1"/>
    </xf>
    <xf numFmtId="16" fontId="64" fillId="36" borderId="71" xfId="0" applyNumberFormat="1" applyFont="1" applyFill="1" applyBorder="1" applyAlignment="1">
      <alignment horizontal="center" vertical="top" wrapText="1"/>
    </xf>
    <xf numFmtId="0" fontId="65" fillId="36" borderId="71" xfId="0" applyFont="1" applyFill="1" applyBorder="1" applyAlignment="1">
      <alignment horizontal="center" vertical="top" wrapText="1"/>
    </xf>
    <xf numFmtId="164" fontId="65" fillId="36" borderId="71" xfId="0" applyNumberFormat="1" applyFont="1" applyFill="1" applyBorder="1" applyAlignment="1">
      <alignment horizontal="center" vertical="top" wrapText="1"/>
    </xf>
    <xf numFmtId="164" fontId="64" fillId="36" borderId="71" xfId="0" applyNumberFormat="1" applyFont="1" applyFill="1" applyBorder="1" applyAlignment="1">
      <alignment horizontal="center" vertical="top" wrapText="1"/>
    </xf>
    <xf numFmtId="16" fontId="64" fillId="36" borderId="112" xfId="0" applyNumberFormat="1" applyFont="1" applyFill="1" applyBorder="1" applyAlignment="1">
      <alignment horizontal="center" vertical="center" wrapText="1"/>
    </xf>
    <xf numFmtId="16" fontId="64" fillId="36" borderId="76" xfId="0" applyNumberFormat="1" applyFont="1" applyFill="1" applyBorder="1" applyAlignment="1">
      <alignment horizontal="center" vertical="top" wrapText="1"/>
    </xf>
    <xf numFmtId="16" fontId="64" fillId="36" borderId="81" xfId="0" applyNumberFormat="1" applyFont="1" applyFill="1" applyBorder="1" applyAlignment="1">
      <alignment horizontal="center" vertical="top" wrapText="1"/>
    </xf>
    <xf numFmtId="0" fontId="65" fillId="36" borderId="81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justify" vertical="center" wrapText="1"/>
    </xf>
    <xf numFmtId="0" fontId="14" fillId="35" borderId="37" xfId="0" applyFont="1" applyFill="1" applyBorder="1" applyAlignment="1">
      <alignment vertical="center" wrapText="1"/>
    </xf>
    <xf numFmtId="2" fontId="4" fillId="35" borderId="99" xfId="59" applyNumberFormat="1" applyFont="1" applyFill="1" applyBorder="1" applyAlignment="1" applyProtection="1">
      <alignment horizontal="center" vertical="center" wrapText="1"/>
      <protection/>
    </xf>
    <xf numFmtId="16" fontId="64" fillId="36" borderId="113" xfId="0" applyNumberFormat="1" applyFont="1" applyFill="1" applyBorder="1" applyAlignment="1">
      <alignment horizontal="center" vertical="center" wrapText="1"/>
    </xf>
    <xf numFmtId="0" fontId="64" fillId="36" borderId="20" xfId="0" applyFont="1" applyFill="1" applyBorder="1" applyAlignment="1">
      <alignment horizontal="center" vertical="top" wrapText="1"/>
    </xf>
    <xf numFmtId="0" fontId="64" fillId="36" borderId="50" xfId="0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horizontal="center" vertical="top" wrapText="1"/>
    </xf>
    <xf numFmtId="16" fontId="64" fillId="36" borderId="114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164" fontId="5" fillId="36" borderId="115" xfId="0" applyNumberFormat="1" applyFont="1" applyFill="1" applyBorder="1" applyAlignment="1">
      <alignment horizontal="center" vertical="top" wrapText="1"/>
    </xf>
    <xf numFmtId="0" fontId="5" fillId="36" borderId="116" xfId="0" applyFont="1" applyFill="1" applyBorder="1" applyAlignment="1">
      <alignment horizontal="center" vertical="top" wrapText="1"/>
    </xf>
    <xf numFmtId="164" fontId="65" fillId="36" borderId="72" xfId="0" applyNumberFormat="1" applyFont="1" applyFill="1" applyBorder="1" applyAlignment="1">
      <alignment horizontal="center" vertical="top" wrapText="1"/>
    </xf>
    <xf numFmtId="164" fontId="65" fillId="36" borderId="73" xfId="0" applyNumberFormat="1" applyFont="1" applyFill="1" applyBorder="1" applyAlignment="1">
      <alignment horizontal="center" vertical="top" wrapText="1"/>
    </xf>
    <xf numFmtId="0" fontId="65" fillId="36" borderId="117" xfId="0" applyFont="1" applyFill="1" applyBorder="1" applyAlignment="1">
      <alignment horizontal="center" vertical="top" wrapText="1"/>
    </xf>
    <xf numFmtId="16" fontId="64" fillId="36" borderId="118" xfId="0" applyNumberFormat="1" applyFont="1" applyFill="1" applyBorder="1" applyAlignment="1">
      <alignment horizontal="center" vertical="center" wrapText="1"/>
    </xf>
    <xf numFmtId="0" fontId="64" fillId="36" borderId="102" xfId="0" applyFont="1" applyFill="1" applyBorder="1" applyAlignment="1">
      <alignment horizontal="center" vertical="top" wrapText="1"/>
    </xf>
    <xf numFmtId="164" fontId="64" fillId="36" borderId="119" xfId="0" applyNumberFormat="1" applyFont="1" applyFill="1" applyBorder="1" applyAlignment="1">
      <alignment horizontal="center" vertical="top" wrapText="1"/>
    </xf>
    <xf numFmtId="164" fontId="64" fillId="36" borderId="120" xfId="0" applyNumberFormat="1" applyFont="1" applyFill="1" applyBorder="1" applyAlignment="1">
      <alignment horizontal="center" vertical="top" wrapText="1"/>
    </xf>
    <xf numFmtId="0" fontId="64" fillId="36" borderId="121" xfId="0" applyFont="1" applyFill="1" applyBorder="1" applyAlignment="1">
      <alignment horizontal="center" vertical="top" wrapText="1"/>
    </xf>
    <xf numFmtId="0" fontId="65" fillId="36" borderId="74" xfId="0" applyFont="1" applyFill="1" applyBorder="1" applyAlignment="1">
      <alignment horizontal="center" vertical="top" wrapText="1"/>
    </xf>
    <xf numFmtId="164" fontId="65" fillId="36" borderId="122" xfId="0" applyNumberFormat="1" applyFont="1" applyFill="1" applyBorder="1" applyAlignment="1">
      <alignment horizontal="center" vertical="top" wrapText="1"/>
    </xf>
    <xf numFmtId="164" fontId="65" fillId="36" borderId="123" xfId="0" applyNumberFormat="1" applyFont="1" applyFill="1" applyBorder="1" applyAlignment="1">
      <alignment horizontal="center" vertical="top" wrapText="1"/>
    </xf>
    <xf numFmtId="164" fontId="65" fillId="36" borderId="124" xfId="0" applyNumberFormat="1" applyFont="1" applyFill="1" applyBorder="1" applyAlignment="1">
      <alignment horizontal="center" vertical="top" wrapText="1"/>
    </xf>
    <xf numFmtId="0" fontId="69" fillId="36" borderId="125" xfId="0" applyFont="1" applyFill="1" applyBorder="1" applyAlignment="1">
      <alignment horizontal="center" vertical="center" wrapText="1"/>
    </xf>
    <xf numFmtId="164" fontId="5" fillId="36" borderId="126" xfId="0" applyNumberFormat="1" applyFont="1" applyFill="1" applyBorder="1" applyAlignment="1">
      <alignment horizontal="center" vertical="center" wrapText="1"/>
    </xf>
    <xf numFmtId="164" fontId="7" fillId="36" borderId="126" xfId="0" applyNumberFormat="1" applyFont="1" applyFill="1" applyBorder="1" applyAlignment="1">
      <alignment horizontal="center" vertical="center" wrapText="1"/>
    </xf>
    <xf numFmtId="0" fontId="5" fillId="36" borderId="127" xfId="0" applyFont="1" applyFill="1" applyBorder="1" applyAlignment="1">
      <alignment horizontal="center" vertical="center" wrapText="1"/>
    </xf>
    <xf numFmtId="164" fontId="5" fillId="36" borderId="18" xfId="0" applyNumberFormat="1" applyFont="1" applyFill="1" applyBorder="1" applyAlignment="1">
      <alignment horizontal="center" vertical="center" wrapText="1"/>
    </xf>
    <xf numFmtId="164" fontId="7" fillId="36" borderId="19" xfId="0" applyNumberFormat="1" applyFont="1" applyFill="1" applyBorder="1" applyAlignment="1">
      <alignment horizontal="center" vertical="center" wrapText="1"/>
    </xf>
    <xf numFmtId="164" fontId="7" fillId="36" borderId="18" xfId="0" applyNumberFormat="1" applyFont="1" applyFill="1" applyBorder="1" applyAlignment="1">
      <alignment horizontal="center" vertical="center" wrapText="1"/>
    </xf>
    <xf numFmtId="164" fontId="5" fillId="36" borderId="13" xfId="0" applyNumberFormat="1" applyFont="1" applyFill="1" applyBorder="1" applyAlignment="1">
      <alignment horizontal="center" vertical="center" wrapText="1"/>
    </xf>
    <xf numFmtId="0" fontId="5" fillId="36" borderId="72" xfId="0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128" xfId="0" applyFont="1" applyFill="1" applyBorder="1" applyAlignment="1">
      <alignment horizontal="center" vertical="center" wrapText="1"/>
    </xf>
    <xf numFmtId="0" fontId="66" fillId="36" borderId="129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 vertical="top" wrapText="1"/>
    </xf>
    <xf numFmtId="0" fontId="5" fillId="36" borderId="130" xfId="0" applyFont="1" applyFill="1" applyBorder="1" applyAlignment="1">
      <alignment horizontal="center" vertical="center"/>
    </xf>
    <xf numFmtId="0" fontId="4" fillId="36" borderId="131" xfId="0" applyFont="1" applyFill="1" applyBorder="1" applyAlignment="1">
      <alignment horizontal="center" vertical="center" wrapText="1"/>
    </xf>
    <xf numFmtId="0" fontId="11" fillId="36" borderId="131" xfId="0" applyFont="1" applyFill="1" applyBorder="1" applyAlignment="1">
      <alignment horizontal="center" vertical="center" wrapText="1"/>
    </xf>
    <xf numFmtId="49" fontId="4" fillId="36" borderId="93" xfId="0" applyNumberFormat="1" applyFont="1" applyFill="1" applyBorder="1" applyAlignment="1">
      <alignment horizontal="left" vertical="center"/>
    </xf>
    <xf numFmtId="49" fontId="4" fillId="35" borderId="93" xfId="0" applyNumberFormat="1" applyFont="1" applyFill="1" applyBorder="1" applyAlignment="1">
      <alignment horizontal="left" vertical="center"/>
    </xf>
    <xf numFmtId="0" fontId="8" fillId="35" borderId="87" xfId="0" applyFont="1" applyFill="1" applyBorder="1" applyAlignment="1">
      <alignment horizontal="center" vertical="center" wrapText="1"/>
    </xf>
    <xf numFmtId="0" fontId="7" fillId="35" borderId="93" xfId="0" applyFont="1" applyFill="1" applyBorder="1" applyAlignment="1">
      <alignment horizontal="center"/>
    </xf>
    <xf numFmtId="0" fontId="8" fillId="35" borderId="87" xfId="0" applyFont="1" applyFill="1" applyBorder="1" applyAlignment="1">
      <alignment horizontal="center" vertical="top" wrapText="1"/>
    </xf>
    <xf numFmtId="0" fontId="4" fillId="35" borderId="87" xfId="0" applyFont="1" applyFill="1" applyBorder="1" applyAlignment="1">
      <alignment horizontal="left" vertical="top" wrapText="1"/>
    </xf>
    <xf numFmtId="0" fontId="7" fillId="35" borderId="132" xfId="0" applyFont="1" applyFill="1" applyBorder="1" applyAlignment="1">
      <alignment vertical="top"/>
    </xf>
    <xf numFmtId="164" fontId="8" fillId="35" borderId="87" xfId="0" applyNumberFormat="1" applyFont="1" applyFill="1" applyBorder="1" applyAlignment="1">
      <alignment horizontal="center" vertical="top" wrapText="1"/>
    </xf>
    <xf numFmtId="0" fontId="7" fillId="35" borderId="130" xfId="0" applyFont="1" applyFill="1" applyBorder="1" applyAlignment="1">
      <alignment vertical="top"/>
    </xf>
    <xf numFmtId="0" fontId="7" fillId="35" borderId="133" xfId="0" applyFont="1" applyFill="1" applyBorder="1" applyAlignment="1">
      <alignment vertical="top"/>
    </xf>
    <xf numFmtId="0" fontId="7" fillId="35" borderId="93" xfId="0" applyFont="1" applyFill="1" applyBorder="1" applyAlignment="1">
      <alignment horizontal="center" vertical="top"/>
    </xf>
    <xf numFmtId="0" fontId="4" fillId="36" borderId="87" xfId="0" applyFont="1" applyFill="1" applyBorder="1" applyAlignment="1">
      <alignment horizontal="left" vertical="top" wrapText="1"/>
    </xf>
    <xf numFmtId="0" fontId="4" fillId="36" borderId="88" xfId="0" applyFont="1" applyFill="1" applyBorder="1" applyAlignment="1">
      <alignment horizontal="left" vertical="top" wrapText="1"/>
    </xf>
    <xf numFmtId="0" fontId="4" fillId="35" borderId="134" xfId="0" applyFont="1" applyFill="1" applyBorder="1" applyAlignment="1">
      <alignment horizontal="left" vertical="top" wrapText="1"/>
    </xf>
    <xf numFmtId="0" fontId="4" fillId="35" borderId="135" xfId="0" applyFont="1" applyFill="1" applyBorder="1" applyAlignment="1">
      <alignment horizontal="left" vertical="top" wrapText="1"/>
    </xf>
    <xf numFmtId="0" fontId="4" fillId="35" borderId="136" xfId="0" applyFont="1" applyFill="1" applyBorder="1" applyAlignment="1">
      <alignment horizontal="left" vertical="top" wrapText="1"/>
    </xf>
    <xf numFmtId="0" fontId="4" fillId="35" borderId="137" xfId="0" applyFont="1" applyFill="1" applyBorder="1" applyAlignment="1">
      <alignment horizontal="left" vertical="top" wrapText="1"/>
    </xf>
    <xf numFmtId="0" fontId="5" fillId="35" borderId="138" xfId="0" applyNumberFormat="1" applyFont="1" applyFill="1" applyBorder="1" applyAlignment="1">
      <alignment horizontal="center" vertical="top"/>
    </xf>
    <xf numFmtId="0" fontId="5" fillId="35" borderId="130" xfId="0" applyFont="1" applyFill="1" applyBorder="1" applyAlignment="1">
      <alignment horizontal="center" vertical="top"/>
    </xf>
    <xf numFmtId="0" fontId="4" fillId="35" borderId="88" xfId="0" applyFont="1" applyFill="1" applyBorder="1" applyAlignment="1">
      <alignment horizontal="left" vertical="top" wrapText="1"/>
    </xf>
    <xf numFmtId="49" fontId="7" fillId="36" borderId="139" xfId="0" applyNumberFormat="1" applyFont="1" applyFill="1" applyBorder="1" applyAlignment="1">
      <alignment horizontal="center" vertical="top"/>
    </xf>
    <xf numFmtId="0" fontId="4" fillId="36" borderId="140" xfId="0" applyFont="1" applyFill="1" applyBorder="1" applyAlignment="1">
      <alignment horizontal="left" vertical="top" wrapText="1"/>
    </xf>
    <xf numFmtId="0" fontId="7" fillId="36" borderId="138" xfId="0" applyFont="1" applyFill="1" applyBorder="1" applyAlignment="1">
      <alignment horizontal="center" vertical="top"/>
    </xf>
    <xf numFmtId="0" fontId="4" fillId="36" borderId="141" xfId="0" applyFont="1" applyFill="1" applyBorder="1" applyAlignment="1">
      <alignment horizontal="left" vertical="top" wrapText="1"/>
    </xf>
    <xf numFmtId="0" fontId="10" fillId="36" borderId="0" xfId="0" applyFont="1" applyFill="1" applyBorder="1" applyAlignment="1">
      <alignment horizontal="center" vertical="center"/>
    </xf>
    <xf numFmtId="0" fontId="5" fillId="35" borderId="93" xfId="0" applyFont="1" applyFill="1" applyBorder="1" applyAlignment="1">
      <alignment horizontal="center" vertical="top"/>
    </xf>
    <xf numFmtId="0" fontId="8" fillId="35" borderId="87" xfId="0" applyFont="1" applyFill="1" applyBorder="1" applyAlignment="1">
      <alignment horizontal="left" vertical="center" wrapText="1"/>
    </xf>
    <xf numFmtId="0" fontId="5" fillId="35" borderId="132" xfId="0" applyNumberFormat="1" applyFont="1" applyFill="1" applyBorder="1" applyAlignment="1">
      <alignment horizontal="center" vertical="top"/>
    </xf>
    <xf numFmtId="0" fontId="4" fillId="35" borderId="88" xfId="0" applyFont="1" applyFill="1" applyBorder="1" applyAlignment="1">
      <alignment horizontal="left" vertical="center" wrapText="1"/>
    </xf>
    <xf numFmtId="0" fontId="4" fillId="35" borderId="142" xfId="0" applyFont="1" applyFill="1" applyBorder="1" applyAlignment="1">
      <alignment horizontal="left" vertical="top" wrapText="1"/>
    </xf>
    <xf numFmtId="0" fontId="4" fillId="35" borderId="143" xfId="0" applyFont="1" applyFill="1" applyBorder="1" applyAlignment="1">
      <alignment horizontal="left" vertical="top" wrapText="1"/>
    </xf>
    <xf numFmtId="0" fontId="5" fillId="35" borderId="114" xfId="0" applyNumberFormat="1" applyFont="1" applyFill="1" applyBorder="1" applyAlignment="1">
      <alignment horizontal="center" vertical="top"/>
    </xf>
    <xf numFmtId="0" fontId="4" fillId="35" borderId="109" xfId="0" applyFont="1" applyFill="1" applyBorder="1" applyAlignment="1">
      <alignment horizontal="left" vertical="top" wrapText="1"/>
    </xf>
    <xf numFmtId="49" fontId="5" fillId="35" borderId="132" xfId="0" applyNumberFormat="1" applyFont="1" applyFill="1" applyBorder="1" applyAlignment="1">
      <alignment horizontal="center" vertical="top"/>
    </xf>
    <xf numFmtId="0" fontId="8" fillId="35" borderId="144" xfId="0" applyFont="1" applyFill="1" applyBorder="1" applyAlignment="1">
      <alignment horizontal="left" vertical="top" wrapText="1"/>
    </xf>
    <xf numFmtId="0" fontId="4" fillId="35" borderId="131" xfId="0" applyFont="1" applyFill="1" applyBorder="1" applyAlignment="1">
      <alignment horizontal="left" vertical="top" wrapText="1"/>
    </xf>
    <xf numFmtId="0" fontId="7" fillId="35" borderId="145" xfId="0" applyNumberFormat="1" applyFont="1" applyFill="1" applyBorder="1" applyAlignment="1">
      <alignment horizontal="center" vertical="top"/>
    </xf>
    <xf numFmtId="170" fontId="4" fillId="35" borderId="88" xfId="0" applyNumberFormat="1" applyFont="1" applyFill="1" applyBorder="1" applyAlignment="1">
      <alignment vertical="top" wrapText="1"/>
    </xf>
    <xf numFmtId="0" fontId="4" fillId="35" borderId="88" xfId="0" applyFont="1" applyFill="1" applyBorder="1" applyAlignment="1">
      <alignment vertical="top" wrapText="1"/>
    </xf>
    <xf numFmtId="0" fontId="0" fillId="35" borderId="135" xfId="0" applyFill="1" applyBorder="1" applyAlignment="1">
      <alignment horizontal="center" vertical="top"/>
    </xf>
    <xf numFmtId="0" fontId="7" fillId="35" borderId="146" xfId="0" applyFont="1" applyFill="1" applyBorder="1" applyAlignment="1">
      <alignment horizontal="left" vertical="top"/>
    </xf>
    <xf numFmtId="0" fontId="0" fillId="35" borderId="135" xfId="0" applyFill="1" applyBorder="1" applyAlignment="1">
      <alignment horizontal="left"/>
    </xf>
    <xf numFmtId="0" fontId="66" fillId="36" borderId="147" xfId="0" applyFont="1" applyFill="1" applyBorder="1" applyAlignment="1">
      <alignment horizontal="center" vertical="top" wrapText="1"/>
    </xf>
    <xf numFmtId="0" fontId="0" fillId="36" borderId="134" xfId="0" applyFill="1" applyBorder="1" applyAlignment="1">
      <alignment horizontal="center"/>
    </xf>
    <xf numFmtId="0" fontId="7" fillId="36" borderId="146" xfId="0" applyFont="1" applyFill="1" applyBorder="1" applyAlignment="1">
      <alignment horizontal="left" vertical="top"/>
    </xf>
    <xf numFmtId="0" fontId="7" fillId="36" borderId="145" xfId="0" applyFont="1" applyFill="1" applyBorder="1" applyAlignment="1">
      <alignment horizontal="left" vertical="center"/>
    </xf>
    <xf numFmtId="0" fontId="15" fillId="36" borderId="135" xfId="0" applyFont="1" applyFill="1" applyBorder="1" applyAlignment="1">
      <alignment/>
    </xf>
    <xf numFmtId="0" fontId="0" fillId="36" borderId="147" xfId="0" applyFill="1" applyBorder="1" applyAlignment="1">
      <alignment/>
    </xf>
    <xf numFmtId="0" fontId="7" fillId="36" borderId="109" xfId="0" applyFont="1" applyFill="1" applyBorder="1" applyAlignment="1">
      <alignment horizontal="center" vertical="center"/>
    </xf>
    <xf numFmtId="0" fontId="5" fillId="36" borderId="109" xfId="0" applyFont="1" applyFill="1" applyBorder="1" applyAlignment="1">
      <alignment horizontal="left" vertical="center"/>
    </xf>
    <xf numFmtId="0" fontId="5" fillId="36" borderId="148" xfId="0" applyFont="1" applyFill="1" applyBorder="1" applyAlignment="1">
      <alignment horizontal="left" vertical="center"/>
    </xf>
    <xf numFmtId="0" fontId="6" fillId="36" borderId="67" xfId="0" applyFont="1" applyFill="1" applyBorder="1" applyAlignment="1">
      <alignment horizontal="center" vertical="top"/>
    </xf>
    <xf numFmtId="164" fontId="7" fillId="36" borderId="52" xfId="0" applyNumberFormat="1" applyFont="1" applyFill="1" applyBorder="1" applyAlignment="1">
      <alignment horizontal="center" vertical="top" wrapText="1"/>
    </xf>
    <xf numFmtId="0" fontId="4" fillId="36" borderId="137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top" wrapText="1"/>
    </xf>
    <xf numFmtId="0" fontId="6" fillId="36" borderId="71" xfId="0" applyFont="1" applyFill="1" applyBorder="1" applyAlignment="1">
      <alignment horizontal="center" vertical="top"/>
    </xf>
    <xf numFmtId="0" fontId="7" fillId="36" borderId="149" xfId="0" applyFont="1" applyFill="1" applyBorder="1" applyAlignment="1">
      <alignment horizontal="center" vertical="center" wrapText="1"/>
    </xf>
    <xf numFmtId="0" fontId="6" fillId="36" borderId="67" xfId="0" applyFont="1" applyFill="1" applyBorder="1" applyAlignment="1">
      <alignment horizontal="center" vertical="top"/>
    </xf>
    <xf numFmtId="0" fontId="7" fillId="36" borderId="67" xfId="0" applyFont="1" applyFill="1" applyBorder="1" applyAlignment="1">
      <alignment horizontal="center" vertical="center" wrapText="1"/>
    </xf>
    <xf numFmtId="0" fontId="5" fillId="35" borderId="150" xfId="0" applyFont="1" applyFill="1" applyBorder="1" applyAlignment="1">
      <alignment horizontal="center" vertical="top"/>
    </xf>
    <xf numFmtId="16" fontId="5" fillId="35" borderId="151" xfId="0" applyNumberFormat="1" applyFont="1" applyFill="1" applyBorder="1" applyAlignment="1">
      <alignment horizontal="center" vertical="top" wrapText="1"/>
    </xf>
    <xf numFmtId="16" fontId="64" fillId="36" borderId="151" xfId="0" applyNumberFormat="1" applyFont="1" applyFill="1" applyBorder="1" applyAlignment="1">
      <alignment horizontal="center" vertical="top" wrapText="1"/>
    </xf>
    <xf numFmtId="0" fontId="65" fillId="36" borderId="151" xfId="0" applyFont="1" applyFill="1" applyBorder="1" applyAlignment="1">
      <alignment horizontal="center" vertical="top" wrapText="1"/>
    </xf>
    <xf numFmtId="164" fontId="65" fillId="36" borderId="152" xfId="0" applyNumberFormat="1" applyFont="1" applyFill="1" applyBorder="1" applyAlignment="1">
      <alignment horizontal="center" vertical="top" wrapText="1"/>
    </xf>
    <xf numFmtId="164" fontId="64" fillId="36" borderId="152" xfId="0" applyNumberFormat="1" applyFont="1" applyFill="1" applyBorder="1" applyAlignment="1">
      <alignment horizontal="center" vertical="top" wrapText="1"/>
    </xf>
    <xf numFmtId="0" fontId="66" fillId="36" borderId="153" xfId="0" applyFont="1" applyFill="1" applyBorder="1" applyAlignment="1">
      <alignment horizontal="center" vertical="center" wrapText="1"/>
    </xf>
    <xf numFmtId="164" fontId="65" fillId="36" borderId="76" xfId="0" applyNumberFormat="1" applyFont="1" applyFill="1" applyBorder="1" applyAlignment="1">
      <alignment horizontal="center" vertical="center" wrapText="1"/>
    </xf>
    <xf numFmtId="164" fontId="65" fillId="36" borderId="76" xfId="0" applyNumberFormat="1" applyFont="1" applyFill="1" applyBorder="1" applyAlignment="1">
      <alignment horizontal="center" vertical="top" wrapText="1"/>
    </xf>
    <xf numFmtId="0" fontId="66" fillId="36" borderId="77" xfId="0" applyFont="1" applyFill="1" applyBorder="1" applyAlignment="1">
      <alignment horizontal="center" vertical="center" wrapText="1"/>
    </xf>
    <xf numFmtId="164" fontId="65" fillId="36" borderId="96" xfId="0" applyNumberFormat="1" applyFont="1" applyFill="1" applyBorder="1" applyAlignment="1">
      <alignment horizontal="center" vertical="top" wrapText="1"/>
    </xf>
    <xf numFmtId="16" fontId="5" fillId="36" borderId="154" xfId="0" applyNumberFormat="1" applyFont="1" applyFill="1" applyBorder="1" applyAlignment="1">
      <alignment horizontal="center" vertical="center" wrapText="1"/>
    </xf>
    <xf numFmtId="0" fontId="5" fillId="36" borderId="155" xfId="0" applyFont="1" applyFill="1" applyBorder="1" applyAlignment="1">
      <alignment horizontal="center" vertical="top" wrapText="1"/>
    </xf>
    <xf numFmtId="164" fontId="5" fillId="36" borderId="156" xfId="0" applyNumberFormat="1" applyFont="1" applyFill="1" applyBorder="1" applyAlignment="1">
      <alignment horizontal="center" vertical="top" wrapText="1"/>
    </xf>
    <xf numFmtId="164" fontId="5" fillId="36" borderId="157" xfId="0" applyNumberFormat="1" applyFont="1" applyFill="1" applyBorder="1" applyAlignment="1">
      <alignment horizontal="center" vertical="top" wrapText="1"/>
    </xf>
    <xf numFmtId="0" fontId="5" fillId="36" borderId="158" xfId="0" applyFont="1" applyFill="1" applyBorder="1" applyAlignment="1">
      <alignment horizontal="center" vertical="top" wrapText="1"/>
    </xf>
    <xf numFmtId="0" fontId="7" fillId="36" borderId="159" xfId="0" applyFont="1" applyFill="1" applyBorder="1" applyAlignment="1">
      <alignment horizontal="center" vertical="top"/>
    </xf>
    <xf numFmtId="0" fontId="7" fillId="36" borderId="119" xfId="0" applyFont="1" applyFill="1" applyBorder="1" applyAlignment="1">
      <alignment horizontal="center" vertical="top" wrapText="1"/>
    </xf>
    <xf numFmtId="164" fontId="7" fillId="36" borderId="120" xfId="0" applyNumberFormat="1" applyFont="1" applyFill="1" applyBorder="1" applyAlignment="1">
      <alignment horizontal="center" vertical="top" wrapText="1"/>
    </xf>
    <xf numFmtId="164" fontId="5" fillId="36" borderId="21" xfId="0" applyNumberFormat="1" applyFont="1" applyFill="1" applyBorder="1" applyAlignment="1">
      <alignment horizontal="center" vertical="top" wrapText="1"/>
    </xf>
    <xf numFmtId="0" fontId="4" fillId="36" borderId="0" xfId="0" applyFont="1" applyFill="1" applyBorder="1" applyAlignment="1">
      <alignment horizontal="center" vertical="top" wrapText="1"/>
    </xf>
    <xf numFmtId="0" fontId="7" fillId="36" borderId="126" xfId="0" applyFont="1" applyFill="1" applyBorder="1" applyAlignment="1">
      <alignment horizontal="center" vertical="top" wrapText="1"/>
    </xf>
    <xf numFmtId="164" fontId="5" fillId="36" borderId="126" xfId="0" applyNumberFormat="1" applyFont="1" applyFill="1" applyBorder="1" applyAlignment="1">
      <alignment horizontal="center" vertical="top" wrapText="1"/>
    </xf>
    <xf numFmtId="16" fontId="4" fillId="36" borderId="160" xfId="0" applyNumberFormat="1" applyFont="1" applyFill="1" applyBorder="1" applyAlignment="1">
      <alignment vertical="top" wrapText="1"/>
    </xf>
    <xf numFmtId="16" fontId="4" fillId="36" borderId="161" xfId="0" applyNumberFormat="1" applyFont="1" applyFill="1" applyBorder="1" applyAlignment="1">
      <alignment vertical="top" wrapText="1"/>
    </xf>
    <xf numFmtId="164" fontId="5" fillId="36" borderId="19" xfId="0" applyNumberFormat="1" applyFont="1" applyFill="1" applyBorder="1" applyAlignment="1">
      <alignment horizontal="center" vertical="top" wrapText="1"/>
    </xf>
    <xf numFmtId="164" fontId="5" fillId="36" borderId="18" xfId="0" applyNumberFormat="1" applyFont="1" applyFill="1" applyBorder="1" applyAlignment="1">
      <alignment horizontal="center" vertical="top" wrapText="1"/>
    </xf>
    <xf numFmtId="0" fontId="7" fillId="36" borderId="67" xfId="0" applyFont="1" applyFill="1" applyBorder="1" applyAlignment="1">
      <alignment horizontal="center" vertical="top" wrapText="1"/>
    </xf>
    <xf numFmtId="164" fontId="5" fillId="36" borderId="65" xfId="0" applyNumberFormat="1" applyFont="1" applyFill="1" applyBorder="1" applyAlignment="1">
      <alignment horizontal="center" vertical="top" wrapText="1"/>
    </xf>
    <xf numFmtId="164" fontId="5" fillId="36" borderId="67" xfId="0" applyNumberFormat="1" applyFont="1" applyFill="1" applyBorder="1" applyAlignment="1">
      <alignment horizontal="center" vertical="top" wrapText="1"/>
    </xf>
    <xf numFmtId="0" fontId="4" fillId="36" borderId="67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162" xfId="0" applyFont="1" applyFill="1" applyBorder="1" applyAlignment="1">
      <alignment horizontal="center" vertical="top" wrapText="1"/>
    </xf>
    <xf numFmtId="0" fontId="6" fillId="36" borderId="155" xfId="0" applyFont="1" applyFill="1" applyBorder="1" applyAlignment="1">
      <alignment horizontal="center" vertical="top"/>
    </xf>
    <xf numFmtId="0" fontId="6" fillId="36" borderId="155" xfId="0" applyFont="1" applyFill="1" applyBorder="1" applyAlignment="1">
      <alignment vertical="top"/>
    </xf>
    <xf numFmtId="0" fontId="6" fillId="36" borderId="112" xfId="0" applyFont="1" applyFill="1" applyBorder="1" applyAlignment="1">
      <alignment vertical="top"/>
    </xf>
    <xf numFmtId="0" fontId="4" fillId="36" borderId="125" xfId="0" applyFont="1" applyFill="1" applyBorder="1" applyAlignment="1">
      <alignment horizontal="center" vertical="top" wrapText="1"/>
    </xf>
    <xf numFmtId="0" fontId="8" fillId="36" borderId="59" xfId="0" applyFont="1" applyFill="1" applyBorder="1" applyAlignment="1">
      <alignment horizontal="center" vertical="center" wrapText="1"/>
    </xf>
    <xf numFmtId="0" fontId="4" fillId="36" borderId="163" xfId="0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164" fontId="8" fillId="36" borderId="67" xfId="0" applyNumberFormat="1" applyFont="1" applyFill="1" applyBorder="1" applyAlignment="1">
      <alignment horizontal="center" vertical="center" wrapText="1"/>
    </xf>
    <xf numFmtId="0" fontId="4" fillId="36" borderId="99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4" fillId="36" borderId="67" xfId="0" applyFont="1" applyFill="1" applyBorder="1" applyAlignment="1">
      <alignment vertical="top" wrapText="1"/>
    </xf>
    <xf numFmtId="0" fontId="7" fillId="36" borderId="71" xfId="0" applyFont="1" applyFill="1" applyBorder="1" applyAlignment="1">
      <alignment horizontal="center" vertical="top" wrapText="1"/>
    </xf>
    <xf numFmtId="164" fontId="5" fillId="36" borderId="71" xfId="0" applyNumberFormat="1" applyFont="1" applyFill="1" applyBorder="1" applyAlignment="1">
      <alignment horizontal="center" vertical="top" wrapText="1"/>
    </xf>
    <xf numFmtId="0" fontId="6" fillId="36" borderId="102" xfId="0" applyFont="1" applyFill="1" applyBorder="1" applyAlignment="1">
      <alignment horizontal="center" vertical="top"/>
    </xf>
    <xf numFmtId="0" fontId="7" fillId="36" borderId="164" xfId="0" applyFont="1" applyFill="1" applyBorder="1" applyAlignment="1">
      <alignment horizontal="center" vertical="top" wrapText="1"/>
    </xf>
    <xf numFmtId="164" fontId="7" fillId="36" borderId="165" xfId="0" applyNumberFormat="1" applyFont="1" applyFill="1" applyBorder="1" applyAlignment="1">
      <alignment horizontal="center" vertical="top" wrapText="1"/>
    </xf>
    <xf numFmtId="0" fontId="7" fillId="36" borderId="166" xfId="0" applyFont="1" applyFill="1" applyBorder="1" applyAlignment="1">
      <alignment horizontal="center" vertical="top" wrapText="1"/>
    </xf>
    <xf numFmtId="164" fontId="7" fillId="36" borderId="167" xfId="0" applyNumberFormat="1" applyFont="1" applyFill="1" applyBorder="1" applyAlignment="1">
      <alignment horizontal="center" vertical="top" wrapText="1"/>
    </xf>
    <xf numFmtId="164" fontId="7" fillId="36" borderId="168" xfId="0" applyNumberFormat="1" applyFont="1" applyFill="1" applyBorder="1" applyAlignment="1">
      <alignment horizontal="center" vertical="top" wrapText="1"/>
    </xf>
    <xf numFmtId="0" fontId="4" fillId="36" borderId="45" xfId="0" applyFont="1" applyFill="1" applyBorder="1" applyAlignment="1">
      <alignment horizontal="center" vertical="top" wrapText="1"/>
    </xf>
    <xf numFmtId="0" fontId="4" fillId="36" borderId="160" xfId="0" applyFont="1" applyFill="1" applyBorder="1" applyAlignment="1">
      <alignment horizontal="center" vertical="top" wrapText="1"/>
    </xf>
    <xf numFmtId="0" fontId="4" fillId="36" borderId="163" xfId="0" applyFont="1" applyFill="1" applyBorder="1" applyAlignment="1">
      <alignment horizontal="center" vertical="top" wrapText="1"/>
    </xf>
    <xf numFmtId="0" fontId="4" fillId="36" borderId="169" xfId="0" applyFont="1" applyFill="1" applyBorder="1" applyAlignment="1">
      <alignment horizontal="center" vertical="top" wrapText="1"/>
    </xf>
    <xf numFmtId="0" fontId="4" fillId="36" borderId="112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center"/>
    </xf>
    <xf numFmtId="0" fontId="6" fillId="36" borderId="67" xfId="0" applyFont="1" applyFill="1" applyBorder="1" applyAlignment="1">
      <alignment horizontal="center" vertical="top" wrapText="1"/>
    </xf>
    <xf numFmtId="0" fontId="6" fillId="35" borderId="67" xfId="0" applyFont="1" applyFill="1" applyBorder="1" applyAlignment="1">
      <alignment horizontal="center" vertical="top" wrapText="1"/>
    </xf>
    <xf numFmtId="172" fontId="4" fillId="35" borderId="67" xfId="0" applyNumberFormat="1" applyFont="1" applyFill="1" applyBorder="1" applyAlignment="1">
      <alignment vertical="center"/>
    </xf>
    <xf numFmtId="164" fontId="4" fillId="35" borderId="67" xfId="0" applyNumberFormat="1" applyFont="1" applyFill="1" applyBorder="1" applyAlignment="1">
      <alignment horizontal="right" vertical="center"/>
    </xf>
    <xf numFmtId="166" fontId="8" fillId="35" borderId="67" xfId="0" applyNumberFormat="1" applyFont="1" applyFill="1" applyBorder="1" applyAlignment="1">
      <alignment vertical="center"/>
    </xf>
    <xf numFmtId="173" fontId="4" fillId="35" borderId="67" xfId="0" applyNumberFormat="1" applyFont="1" applyFill="1" applyBorder="1" applyAlignment="1">
      <alignment vertical="center"/>
    </xf>
    <xf numFmtId="0" fontId="4" fillId="35" borderId="67" xfId="0" applyFont="1" applyFill="1" applyBorder="1" applyAlignment="1">
      <alignment vertical="center"/>
    </xf>
    <xf numFmtId="164" fontId="8" fillId="35" borderId="67" xfId="0" applyNumberFormat="1" applyFont="1" applyFill="1" applyBorder="1" applyAlignment="1">
      <alignment horizontal="center" vertical="center" wrapText="1"/>
    </xf>
    <xf numFmtId="172" fontId="8" fillId="35" borderId="67" xfId="0" applyNumberFormat="1" applyFont="1" applyFill="1" applyBorder="1" applyAlignment="1">
      <alignment horizontal="center" vertical="center"/>
    </xf>
    <xf numFmtId="166" fontId="4" fillId="35" borderId="67" xfId="0" applyNumberFormat="1" applyFont="1" applyFill="1" applyBorder="1" applyAlignment="1">
      <alignment vertical="center"/>
    </xf>
    <xf numFmtId="164" fontId="4" fillId="35" borderId="67" xfId="0" applyNumberFormat="1" applyFont="1" applyFill="1" applyBorder="1" applyAlignment="1">
      <alignment vertical="center"/>
    </xf>
    <xf numFmtId="166" fontId="8" fillId="35" borderId="67" xfId="0" applyNumberFormat="1" applyFont="1" applyFill="1" applyBorder="1" applyAlignment="1">
      <alignment horizontal="center" vertical="center"/>
    </xf>
    <xf numFmtId="172" fontId="8" fillId="35" borderId="67" xfId="0" applyNumberFormat="1" applyFont="1" applyFill="1" applyBorder="1" applyAlignment="1">
      <alignment vertical="center"/>
    </xf>
    <xf numFmtId="0" fontId="8" fillId="35" borderId="67" xfId="0" applyFont="1" applyFill="1" applyBorder="1" applyAlignment="1">
      <alignment horizontal="center" vertical="center"/>
    </xf>
    <xf numFmtId="0" fontId="6" fillId="36" borderId="76" xfId="0" applyFont="1" applyFill="1" applyBorder="1" applyAlignment="1">
      <alignment horizontal="center" vertical="top" wrapText="1"/>
    </xf>
    <xf numFmtId="0" fontId="8" fillId="36" borderId="76" xfId="0" applyFont="1" applyFill="1" applyBorder="1" applyAlignment="1">
      <alignment horizontal="center" vertical="center" wrapText="1"/>
    </xf>
    <xf numFmtId="164" fontId="8" fillId="36" borderId="76" xfId="0" applyNumberFormat="1" applyFont="1" applyFill="1" applyBorder="1" applyAlignment="1">
      <alignment horizontal="center" vertical="center" wrapText="1"/>
    </xf>
    <xf numFmtId="0" fontId="6" fillId="35" borderId="81" xfId="0" applyFont="1" applyFill="1" applyBorder="1" applyAlignment="1">
      <alignment horizontal="center" vertical="top" wrapText="1"/>
    </xf>
    <xf numFmtId="0" fontId="8" fillId="35" borderId="81" xfId="0" applyFont="1" applyFill="1" applyBorder="1" applyAlignment="1">
      <alignment horizontal="center" vertical="center"/>
    </xf>
    <xf numFmtId="164" fontId="8" fillId="35" borderId="81" xfId="0" applyNumberFormat="1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top" wrapText="1"/>
    </xf>
    <xf numFmtId="0" fontId="7" fillId="35" borderId="114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0" fontId="5" fillId="36" borderId="93" xfId="0" applyFont="1" applyFill="1" applyBorder="1" applyAlignment="1">
      <alignment horizontal="center" vertical="top"/>
    </xf>
    <xf numFmtId="0" fontId="5" fillId="35" borderId="93" xfId="0" applyFont="1" applyFill="1" applyBorder="1" applyAlignment="1">
      <alignment horizontal="center" vertical="top"/>
    </xf>
    <xf numFmtId="0" fontId="4" fillId="35" borderId="1" xfId="0" applyFont="1" applyFill="1" applyBorder="1" applyAlignment="1">
      <alignment horizontal="center" vertical="top" wrapText="1"/>
    </xf>
    <xf numFmtId="0" fontId="4" fillId="36" borderId="1" xfId="0" applyFont="1" applyFill="1" applyBorder="1" applyAlignment="1">
      <alignment horizontal="left" vertical="top" wrapText="1"/>
    </xf>
    <xf numFmtId="49" fontId="7" fillId="35" borderId="146" xfId="0" applyNumberFormat="1" applyFont="1" applyFill="1" applyBorder="1" applyAlignment="1">
      <alignment horizontal="center" vertical="top"/>
    </xf>
    <xf numFmtId="0" fontId="3" fillId="35" borderId="90" xfId="0" applyFont="1" applyFill="1" applyBorder="1" applyAlignment="1">
      <alignment horizontal="center"/>
    </xf>
    <xf numFmtId="49" fontId="5" fillId="35" borderId="90" xfId="0" applyNumberFormat="1" applyFont="1" applyFill="1" applyBorder="1" applyAlignment="1">
      <alignment horizontal="center" vertical="top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wrapText="1"/>
    </xf>
    <xf numFmtId="0" fontId="4" fillId="36" borderId="137" xfId="0" applyFont="1" applyFill="1" applyBorder="1" applyAlignment="1">
      <alignment horizontal="center" vertical="center" wrapText="1"/>
    </xf>
    <xf numFmtId="0" fontId="4" fillId="36" borderId="170" xfId="0" applyFont="1" applyFill="1" applyBorder="1" applyAlignment="1">
      <alignment horizontal="center" vertical="center" wrapText="1"/>
    </xf>
    <xf numFmtId="0" fontId="4" fillId="36" borderId="171" xfId="0" applyFont="1" applyFill="1" applyBorder="1" applyAlignment="1">
      <alignment horizontal="center" vertical="top" wrapText="1"/>
    </xf>
    <xf numFmtId="0" fontId="4" fillId="36" borderId="172" xfId="0" applyFont="1" applyFill="1" applyBorder="1" applyAlignment="1">
      <alignment horizontal="center" vertical="top" wrapText="1"/>
    </xf>
    <xf numFmtId="0" fontId="4" fillId="36" borderId="173" xfId="0" applyFont="1" applyFill="1" applyBorder="1" applyAlignment="1">
      <alignment horizontal="center" vertical="top" wrapText="1"/>
    </xf>
    <xf numFmtId="0" fontId="4" fillId="36" borderId="174" xfId="0" applyFont="1" applyFill="1" applyBorder="1" applyAlignment="1">
      <alignment horizontal="center" vertical="top" wrapText="1"/>
    </xf>
    <xf numFmtId="0" fontId="4" fillId="36" borderId="137" xfId="0" applyFont="1" applyFill="1" applyBorder="1" applyAlignment="1">
      <alignment horizontal="center" vertical="top" wrapText="1"/>
    </xf>
    <xf numFmtId="0" fontId="4" fillId="36" borderId="170" xfId="0" applyFont="1" applyFill="1" applyBorder="1" applyAlignment="1">
      <alignment horizontal="center" vertical="top" wrapText="1"/>
    </xf>
    <xf numFmtId="0" fontId="5" fillId="36" borderId="148" xfId="0" applyFont="1" applyFill="1" applyBorder="1" applyAlignment="1">
      <alignment horizontal="center" vertical="center"/>
    </xf>
    <xf numFmtId="0" fontId="5" fillId="36" borderId="114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 wrapText="1"/>
    </xf>
    <xf numFmtId="0" fontId="0" fillId="36" borderId="175" xfId="0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76" xfId="0" applyFont="1" applyFill="1" applyBorder="1" applyAlignment="1">
      <alignment horizontal="center" vertical="top" wrapText="1"/>
    </xf>
    <xf numFmtId="0" fontId="4" fillId="36" borderId="177" xfId="0" applyFont="1" applyFill="1" applyBorder="1" applyAlignment="1">
      <alignment horizontal="center" vertical="top" wrapText="1"/>
    </xf>
    <xf numFmtId="16" fontId="5" fillId="35" borderId="102" xfId="0" applyNumberFormat="1" applyFont="1" applyFill="1" applyBorder="1" applyAlignment="1">
      <alignment horizontal="center" vertical="top" wrapText="1"/>
    </xf>
    <xf numFmtId="16" fontId="5" fillId="35" borderId="155" xfId="0" applyNumberFormat="1" applyFont="1" applyFill="1" applyBorder="1" applyAlignment="1">
      <alignment horizontal="center" vertical="top" wrapText="1"/>
    </xf>
    <xf numFmtId="16" fontId="5" fillId="35" borderId="114" xfId="0" applyNumberFormat="1" applyFont="1" applyFill="1" applyBorder="1" applyAlignment="1">
      <alignment horizontal="center" vertical="top" wrapText="1"/>
    </xf>
    <xf numFmtId="0" fontId="7" fillId="35" borderId="37" xfId="0" applyFont="1" applyFill="1" applyBorder="1" applyAlignment="1">
      <alignment horizontal="center" vertical="top" wrapText="1"/>
    </xf>
    <xf numFmtId="0" fontId="7" fillId="35" borderId="65" xfId="0" applyFont="1" applyFill="1" applyBorder="1" applyAlignment="1">
      <alignment horizontal="center" vertical="top" wrapText="1"/>
    </xf>
    <xf numFmtId="164" fontId="4" fillId="35" borderId="76" xfId="0" applyNumberFormat="1" applyFont="1" applyFill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center" vertical="center" wrapText="1"/>
    </xf>
    <xf numFmtId="0" fontId="4" fillId="35" borderId="77" xfId="0" applyFont="1" applyFill="1" applyBorder="1" applyAlignment="1">
      <alignment horizontal="center" vertical="top" wrapText="1"/>
    </xf>
    <xf numFmtId="0" fontId="4" fillId="35" borderId="79" xfId="0" applyFont="1" applyFill="1" applyBorder="1" applyAlignment="1">
      <alignment horizontal="center" vertical="top" wrapText="1"/>
    </xf>
    <xf numFmtId="0" fontId="4" fillId="36" borderId="178" xfId="0" applyFont="1" applyFill="1" applyBorder="1" applyAlignment="1">
      <alignment horizontal="center" vertical="top" wrapText="1"/>
    </xf>
    <xf numFmtId="0" fontId="7" fillId="36" borderId="67" xfId="0" applyFont="1" applyFill="1" applyBorder="1" applyAlignment="1">
      <alignment horizontal="center" vertical="center" wrapText="1"/>
    </xf>
    <xf numFmtId="0" fontId="4" fillId="36" borderId="102" xfId="0" applyFont="1" applyFill="1" applyBorder="1" applyAlignment="1">
      <alignment horizontal="center" vertical="top" wrapText="1"/>
    </xf>
    <xf numFmtId="0" fontId="4" fillId="36" borderId="155" xfId="0" applyFont="1" applyFill="1" applyBorder="1" applyAlignment="1">
      <alignment horizontal="center" vertical="top" wrapText="1"/>
    </xf>
    <xf numFmtId="0" fontId="7" fillId="36" borderId="179" xfId="0" applyFont="1" applyFill="1" applyBorder="1" applyAlignment="1">
      <alignment horizontal="center" vertical="center" wrapText="1"/>
    </xf>
    <xf numFmtId="0" fontId="7" fillId="36" borderId="149" xfId="0" applyFont="1" applyFill="1" applyBorder="1" applyAlignment="1">
      <alignment horizontal="center" vertical="center" wrapText="1"/>
    </xf>
    <xf numFmtId="2" fontId="11" fillId="36" borderId="12" xfId="59" applyNumberFormat="1" applyFont="1" applyFill="1" applyBorder="1" applyAlignment="1" applyProtection="1">
      <alignment horizontal="center" vertical="center" wrapText="1"/>
      <protection/>
    </xf>
    <xf numFmtId="2" fontId="11" fillId="36" borderId="14" xfId="59" applyNumberFormat="1" applyFont="1" applyFill="1" applyBorder="1" applyAlignment="1" applyProtection="1">
      <alignment horizontal="center" vertical="center" wrapText="1"/>
      <protection/>
    </xf>
    <xf numFmtId="16" fontId="7" fillId="36" borderId="180" xfId="0" applyNumberFormat="1" applyFont="1" applyFill="1" applyBorder="1" applyAlignment="1">
      <alignment horizontal="left" vertical="center" wrapText="1"/>
    </xf>
    <xf numFmtId="16" fontId="7" fillId="36" borderId="70" xfId="0" applyNumberFormat="1" applyFont="1" applyFill="1" applyBorder="1" applyAlignment="1">
      <alignment horizontal="left" vertical="center" wrapText="1"/>
    </xf>
    <xf numFmtId="0" fontId="7" fillId="36" borderId="181" xfId="0" applyFont="1" applyFill="1" applyBorder="1" applyAlignment="1">
      <alignment horizontal="center" vertical="center" wrapText="1"/>
    </xf>
    <xf numFmtId="0" fontId="8" fillId="35" borderId="102" xfId="0" applyFont="1" applyFill="1" applyBorder="1" applyAlignment="1">
      <alignment horizontal="center" vertical="top" wrapText="1"/>
    </xf>
    <xf numFmtId="0" fontId="8" fillId="35" borderId="112" xfId="0" applyFont="1" applyFill="1" applyBorder="1" applyAlignment="1">
      <alignment horizontal="center" vertical="top" wrapText="1"/>
    </xf>
    <xf numFmtId="0" fontId="3" fillId="36" borderId="90" xfId="0" applyFont="1" applyFill="1" applyBorder="1" applyAlignment="1">
      <alignment horizontal="center"/>
    </xf>
    <xf numFmtId="0" fontId="4" fillId="36" borderId="107" xfId="0" applyFont="1" applyFill="1" applyBorder="1" applyAlignment="1">
      <alignment horizontal="center" vertical="center" wrapText="1"/>
    </xf>
    <xf numFmtId="0" fontId="4" fillId="36" borderId="141" xfId="0" applyFont="1" applyFill="1" applyBorder="1" applyAlignment="1">
      <alignment horizontal="center" vertical="center" wrapText="1"/>
    </xf>
    <xf numFmtId="0" fontId="4" fillId="36" borderId="182" xfId="0" applyFont="1" applyFill="1" applyBorder="1" applyAlignment="1">
      <alignment horizontal="center" vertical="center" wrapText="1"/>
    </xf>
    <xf numFmtId="0" fontId="4" fillId="36" borderId="141" xfId="0" applyFont="1" applyFill="1" applyBorder="1" applyAlignment="1">
      <alignment horizontal="center" vertical="top" wrapText="1"/>
    </xf>
    <xf numFmtId="16" fontId="5" fillId="36" borderId="183" xfId="0" applyNumberFormat="1" applyFont="1" applyFill="1" applyBorder="1" applyAlignment="1">
      <alignment horizontal="center" vertical="center" wrapText="1"/>
    </xf>
    <xf numFmtId="16" fontId="5" fillId="36" borderId="162" xfId="0" applyNumberFormat="1" applyFont="1" applyFill="1" applyBorder="1" applyAlignment="1">
      <alignment horizontal="center" vertical="center" wrapText="1"/>
    </xf>
    <xf numFmtId="16" fontId="5" fillId="36" borderId="160" xfId="0" applyNumberFormat="1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4" fillId="36" borderId="184" xfId="0" applyFont="1" applyFill="1" applyBorder="1" applyAlignment="1">
      <alignment horizontal="center" vertical="top" wrapText="1"/>
    </xf>
    <xf numFmtId="0" fontId="4" fillId="36" borderId="185" xfId="0" applyFont="1" applyFill="1" applyBorder="1" applyAlignment="1">
      <alignment horizontal="center" vertical="top" wrapText="1"/>
    </xf>
    <xf numFmtId="0" fontId="4" fillId="36" borderId="175" xfId="0" applyFont="1" applyFill="1" applyBorder="1" applyAlignment="1">
      <alignment horizontal="center" vertical="top" wrapText="1"/>
    </xf>
    <xf numFmtId="0" fontId="4" fillId="36" borderId="186" xfId="0" applyFont="1" applyFill="1" applyBorder="1" applyAlignment="1">
      <alignment horizontal="center" vertical="top" wrapText="1"/>
    </xf>
    <xf numFmtId="0" fontId="7" fillId="35" borderId="68" xfId="0" applyFont="1" applyFill="1" applyBorder="1" applyAlignment="1">
      <alignment horizontal="center" vertical="top" wrapText="1"/>
    </xf>
    <xf numFmtId="0" fontId="66" fillId="36" borderId="137" xfId="0" applyFont="1" applyFill="1" applyBorder="1" applyAlignment="1">
      <alignment horizontal="center" vertical="top" wrapText="1"/>
    </xf>
    <xf numFmtId="0" fontId="66" fillId="36" borderId="186" xfId="0" applyFont="1" applyFill="1" applyBorder="1" applyAlignment="1">
      <alignment horizontal="center" vertical="top" wrapText="1"/>
    </xf>
    <xf numFmtId="0" fontId="7" fillId="36" borderId="187" xfId="0" applyFont="1" applyFill="1" applyBorder="1" applyAlignment="1">
      <alignment horizontal="center" vertical="top"/>
    </xf>
    <xf numFmtId="0" fontId="8" fillId="36" borderId="175" xfId="0" applyFont="1" applyFill="1" applyBorder="1" applyAlignment="1">
      <alignment horizontal="center" vertical="top" wrapText="1"/>
    </xf>
    <xf numFmtId="0" fontId="8" fillId="36" borderId="141" xfId="0" applyFont="1" applyFill="1" applyBorder="1" applyAlignment="1">
      <alignment horizontal="center" vertical="top" wrapText="1"/>
    </xf>
    <xf numFmtId="0" fontId="7" fillId="36" borderId="102" xfId="0" applyFont="1" applyFill="1" applyBorder="1" applyAlignment="1">
      <alignment horizontal="center" vertical="top"/>
    </xf>
    <xf numFmtId="0" fontId="7" fillId="36" borderId="155" xfId="0" applyFont="1" applyFill="1" applyBorder="1" applyAlignment="1">
      <alignment horizontal="center" vertical="top"/>
    </xf>
    <xf numFmtId="0" fontId="7" fillId="36" borderId="112" xfId="0" applyFont="1" applyFill="1" applyBorder="1" applyAlignment="1">
      <alignment horizontal="center" vertical="top"/>
    </xf>
    <xf numFmtId="0" fontId="7" fillId="36" borderId="114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7" fillId="36" borderId="20" xfId="0" applyFont="1" applyFill="1" applyBorder="1" applyAlignment="1">
      <alignment horizontal="left" vertical="center"/>
    </xf>
    <xf numFmtId="0" fontId="7" fillId="36" borderId="114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5" fillId="36" borderId="90" xfId="0" applyFont="1" applyFill="1" applyBorder="1" applyAlignment="1">
      <alignment horizontal="center" vertical="top"/>
    </xf>
    <xf numFmtId="0" fontId="5" fillId="36" borderId="154" xfId="0" applyFont="1" applyFill="1" applyBorder="1" applyAlignment="1">
      <alignment horizontal="center" vertical="top"/>
    </xf>
    <xf numFmtId="0" fontId="4" fillId="35" borderId="87" xfId="0" applyFont="1" applyFill="1" applyBorder="1" applyAlignment="1">
      <alignment horizontal="left" vertical="top" wrapText="1"/>
    </xf>
    <xf numFmtId="0" fontId="5" fillId="35" borderId="146" xfId="0" applyFont="1" applyFill="1" applyBorder="1" applyAlignment="1">
      <alignment horizontal="center" vertical="top"/>
    </xf>
    <xf numFmtId="0" fontId="4" fillId="35" borderId="88" xfId="0" applyFont="1" applyFill="1" applyBorder="1" applyAlignment="1">
      <alignment horizontal="left" vertical="top" wrapText="1"/>
    </xf>
    <xf numFmtId="0" fontId="4" fillId="35" borderId="136" xfId="0" applyFont="1" applyFill="1" applyBorder="1" applyAlignment="1">
      <alignment horizontal="left" vertical="top" wrapText="1"/>
    </xf>
    <xf numFmtId="0" fontId="5" fillId="35" borderId="145" xfId="0" applyFont="1" applyFill="1" applyBorder="1" applyAlignment="1">
      <alignment horizontal="center" vertical="top"/>
    </xf>
    <xf numFmtId="0" fontId="7" fillId="35" borderId="1" xfId="0" applyFont="1" applyFill="1" applyBorder="1" applyAlignment="1">
      <alignment horizontal="center" vertical="top" wrapText="1"/>
    </xf>
    <xf numFmtId="0" fontId="4" fillId="35" borderId="88" xfId="0" applyFont="1" applyFill="1" applyBorder="1" applyAlignment="1">
      <alignment horizontal="left" vertical="center" wrapText="1"/>
    </xf>
    <xf numFmtId="0" fontId="6" fillId="35" borderId="102" xfId="0" applyFont="1" applyFill="1" applyBorder="1" applyAlignment="1">
      <alignment horizontal="center" vertical="top" wrapText="1"/>
    </xf>
    <xf numFmtId="0" fontId="6" fillId="35" borderId="155" xfId="0" applyFont="1" applyFill="1" applyBorder="1" applyAlignment="1">
      <alignment horizontal="center" vertical="top" wrapText="1"/>
    </xf>
    <xf numFmtId="0" fontId="6" fillId="35" borderId="112" xfId="0" applyFont="1" applyFill="1" applyBorder="1" applyAlignment="1">
      <alignment horizontal="center" vertical="top" wrapText="1"/>
    </xf>
    <xf numFmtId="0" fontId="5" fillId="35" borderId="132" xfId="0" applyNumberFormat="1" applyFont="1" applyFill="1" applyBorder="1" applyAlignment="1">
      <alignment horizontal="center" vertical="top"/>
    </xf>
    <xf numFmtId="0" fontId="8" fillId="35" borderId="12" xfId="0" applyFont="1" applyFill="1" applyBorder="1" applyAlignment="1">
      <alignment horizontal="center" vertical="center" wrapText="1"/>
    </xf>
    <xf numFmtId="0" fontId="5" fillId="35" borderId="90" xfId="0" applyNumberFormat="1" applyFont="1" applyFill="1" applyBorder="1" applyAlignment="1">
      <alignment vertical="top"/>
    </xf>
    <xf numFmtId="0" fontId="4" fillId="35" borderId="188" xfId="0" applyFont="1" applyFill="1" applyBorder="1" applyAlignment="1">
      <alignment horizontal="center" vertical="center" wrapText="1"/>
    </xf>
    <xf numFmtId="0" fontId="7" fillId="36" borderId="1" xfId="0" applyFont="1" applyFill="1" applyBorder="1" applyAlignment="1">
      <alignment horizontal="center" vertical="top" wrapText="1"/>
    </xf>
    <xf numFmtId="0" fontId="5" fillId="35" borderId="93" xfId="0" applyFont="1" applyFill="1" applyBorder="1" applyAlignment="1">
      <alignment horizontal="center" vertical="center"/>
    </xf>
    <xf numFmtId="0" fontId="4" fillId="36" borderId="87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5" borderId="135" xfId="0" applyFont="1" applyFill="1" applyBorder="1" applyAlignment="1">
      <alignment horizontal="left" vertical="top" wrapText="1"/>
    </xf>
    <xf numFmtId="0" fontId="4" fillId="36" borderId="58" xfId="0" applyFont="1" applyFill="1" applyBorder="1" applyAlignment="1">
      <alignment horizontal="center" vertical="center" wrapText="1"/>
    </xf>
    <xf numFmtId="0" fontId="4" fillId="36" borderId="1" xfId="0" applyFont="1" applyFill="1" applyBorder="1" applyAlignment="1">
      <alignment horizontal="center" vertical="center" wrapText="1"/>
    </xf>
    <xf numFmtId="2" fontId="11" fillId="36" borderId="1" xfId="59" applyNumberFormat="1" applyFont="1" applyFill="1" applyBorder="1" applyAlignment="1" applyProtection="1">
      <alignment horizontal="center" vertical="center" wrapText="1"/>
      <protection/>
    </xf>
    <xf numFmtId="0" fontId="4" fillId="35" borderId="100" xfId="0" applyFont="1" applyFill="1" applyBorder="1" applyAlignment="1">
      <alignment horizontal="center" vertical="center" wrapText="1"/>
    </xf>
    <xf numFmtId="0" fontId="4" fillId="35" borderId="189" xfId="0" applyFont="1" applyFill="1" applyBorder="1" applyAlignment="1">
      <alignment horizontal="center" vertical="center" wrapText="1"/>
    </xf>
    <xf numFmtId="0" fontId="4" fillId="35" borderId="84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top" wrapText="1"/>
    </xf>
    <xf numFmtId="0" fontId="4" fillId="36" borderId="1" xfId="0" applyFont="1" applyFill="1" applyBorder="1" applyAlignment="1">
      <alignment horizontal="left" vertical="center" wrapText="1"/>
    </xf>
    <xf numFmtId="0" fontId="7" fillId="36" borderId="1" xfId="0" applyFont="1" applyFill="1" applyBorder="1" applyAlignment="1">
      <alignment horizontal="center" vertical="center" wrapText="1"/>
    </xf>
    <xf numFmtId="2" fontId="11" fillId="36" borderId="21" xfId="59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>
      <alignment horizontal="center" vertical="top" wrapText="1"/>
    </xf>
    <xf numFmtId="0" fontId="7" fillId="35" borderId="93" xfId="0" applyFont="1" applyFill="1" applyBorder="1" applyAlignment="1">
      <alignment horizontal="left" vertical="top" wrapText="1"/>
    </xf>
    <xf numFmtId="0" fontId="7" fillId="35" borderId="1" xfId="0" applyFont="1" applyFill="1" applyBorder="1" applyAlignment="1">
      <alignment horizontal="left" vertical="top" wrapText="1"/>
    </xf>
    <xf numFmtId="0" fontId="7" fillId="35" borderId="87" xfId="0" applyFont="1" applyFill="1" applyBorder="1" applyAlignment="1">
      <alignment horizontal="left" vertical="top" wrapText="1"/>
    </xf>
    <xf numFmtId="2" fontId="11" fillId="35" borderId="1" xfId="59" applyNumberFormat="1" applyFont="1" applyFill="1" applyBorder="1" applyAlignment="1" applyProtection="1">
      <alignment horizontal="center" vertical="center" wrapText="1"/>
      <protection/>
    </xf>
    <xf numFmtId="0" fontId="4" fillId="35" borderId="1" xfId="0" applyFont="1" applyFill="1" applyBorder="1" applyAlignment="1">
      <alignment horizontal="center" vertical="center" wrapText="1"/>
    </xf>
    <xf numFmtId="0" fontId="3" fillId="34" borderId="13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vertical="top" wrapText="1"/>
    </xf>
    <xf numFmtId="166" fontId="4" fillId="34" borderId="137" xfId="0" applyNumberFormat="1" applyFont="1" applyFill="1" applyBorder="1" applyAlignment="1">
      <alignment horizontal="center" vertical="top" wrapText="1"/>
    </xf>
    <xf numFmtId="0" fontId="7" fillId="36" borderId="133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6" borderId="109" xfId="0" applyFont="1" applyFill="1" applyBorder="1" applyAlignment="1">
      <alignment horizontal="center" vertical="top" wrapText="1"/>
    </xf>
    <xf numFmtId="0" fontId="7" fillId="36" borderId="93" xfId="0" applyFont="1" applyFill="1" applyBorder="1" applyAlignment="1">
      <alignment horizontal="left" vertical="top" wrapText="1"/>
    </xf>
    <xf numFmtId="0" fontId="7" fillId="36" borderId="1" xfId="0" applyFont="1" applyFill="1" applyBorder="1" applyAlignment="1">
      <alignment horizontal="left" vertical="top" wrapText="1"/>
    </xf>
    <xf numFmtId="0" fontId="7" fillId="36" borderId="87" xfId="0" applyFont="1" applyFill="1" applyBorder="1" applyAlignment="1">
      <alignment horizontal="left" vertical="top" wrapText="1"/>
    </xf>
    <xf numFmtId="0" fontId="5" fillId="36" borderId="23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7" fillId="36" borderId="138" xfId="0" applyFont="1" applyFill="1" applyBorder="1" applyAlignment="1">
      <alignment horizontal="center" vertical="top"/>
    </xf>
    <xf numFmtId="0" fontId="19" fillId="36" borderId="52" xfId="0" applyFont="1" applyFill="1" applyBorder="1" applyAlignment="1">
      <alignment horizontal="center" vertical="center" wrapText="1"/>
    </xf>
    <xf numFmtId="16" fontId="5" fillId="35" borderId="190" xfId="0" applyNumberFormat="1" applyFont="1" applyFill="1" applyBorder="1" applyAlignment="1">
      <alignment horizontal="center" vertical="top" wrapText="1"/>
    </xf>
    <xf numFmtId="16" fontId="5" fillId="35" borderId="152" xfId="0" applyNumberFormat="1" applyFont="1" applyFill="1" applyBorder="1" applyAlignment="1">
      <alignment horizontal="center" vertical="top" wrapText="1"/>
    </xf>
    <xf numFmtId="16" fontId="5" fillId="35" borderId="151" xfId="0" applyNumberFormat="1" applyFont="1" applyFill="1" applyBorder="1" applyAlignment="1">
      <alignment horizontal="center" vertical="top" wrapText="1"/>
    </xf>
    <xf numFmtId="0" fontId="5" fillId="35" borderId="191" xfId="0" applyFont="1" applyFill="1" applyBorder="1" applyAlignment="1">
      <alignment horizontal="center" vertical="top"/>
    </xf>
    <xf numFmtId="0" fontId="5" fillId="35" borderId="192" xfId="0" applyFont="1" applyFill="1" applyBorder="1" applyAlignment="1">
      <alignment horizontal="center" vertical="top"/>
    </xf>
    <xf numFmtId="0" fontId="5" fillId="35" borderId="150" xfId="0" applyFont="1" applyFill="1" applyBorder="1" applyAlignment="1">
      <alignment horizontal="center" vertical="top"/>
    </xf>
    <xf numFmtId="0" fontId="4" fillId="35" borderId="12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2" fontId="11" fillId="35" borderId="12" xfId="59" applyNumberFormat="1" applyFont="1" applyFill="1" applyBorder="1" applyAlignment="1" applyProtection="1">
      <alignment horizontal="center" vertical="center" wrapText="1"/>
      <protection/>
    </xf>
    <xf numFmtId="2" fontId="11" fillId="35" borderId="14" xfId="59" applyNumberFormat="1" applyFont="1" applyFill="1" applyBorder="1" applyAlignment="1" applyProtection="1">
      <alignment horizontal="center" vertical="center" wrapText="1"/>
      <protection/>
    </xf>
    <xf numFmtId="49" fontId="5" fillId="35" borderId="138" xfId="0" applyNumberFormat="1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left" vertical="top" wrapText="1"/>
    </xf>
    <xf numFmtId="0" fontId="5" fillId="36" borderId="76" xfId="0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0" fontId="5" fillId="36" borderId="81" xfId="0" applyFont="1" applyFill="1" applyBorder="1" applyAlignment="1">
      <alignment horizontal="center" vertical="center" wrapText="1"/>
    </xf>
    <xf numFmtId="164" fontId="7" fillId="35" borderId="52" xfId="0" applyNumberFormat="1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center" vertical="top" wrapText="1"/>
    </xf>
    <xf numFmtId="0" fontId="7" fillId="35" borderId="51" xfId="0" applyFont="1" applyFill="1" applyBorder="1" applyAlignment="1">
      <alignment horizontal="center" vertical="top" wrapText="1"/>
    </xf>
    <xf numFmtId="164" fontId="7" fillId="35" borderId="193" xfId="0" applyNumberFormat="1" applyFont="1" applyFill="1" applyBorder="1" applyAlignment="1">
      <alignment horizontal="center" vertical="top" wrapText="1"/>
    </xf>
    <xf numFmtId="0" fontId="7" fillId="35" borderId="73" xfId="0" applyFont="1" applyFill="1" applyBorder="1" applyAlignment="1">
      <alignment horizontal="center" vertical="top" wrapText="1"/>
    </xf>
    <xf numFmtId="164" fontId="7" fillId="35" borderId="73" xfId="0" applyNumberFormat="1" applyFont="1" applyFill="1" applyBorder="1" applyAlignment="1">
      <alignment horizontal="center" vertical="top" wrapText="1"/>
    </xf>
    <xf numFmtId="0" fontId="7" fillId="35" borderId="32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164" fontId="7" fillId="35" borderId="21" xfId="0" applyNumberFormat="1" applyFont="1" applyFill="1" applyBorder="1" applyAlignment="1">
      <alignment horizontal="center" vertical="top" wrapText="1"/>
    </xf>
    <xf numFmtId="16" fontId="15" fillId="35" borderId="132" xfId="0" applyNumberFormat="1" applyFont="1" applyFill="1" applyBorder="1" applyAlignment="1">
      <alignment horizontal="center" vertical="center"/>
    </xf>
    <xf numFmtId="0" fontId="16" fillId="35" borderId="11" xfId="0" applyNumberFormat="1" applyFont="1" applyFill="1" applyBorder="1" applyAlignment="1">
      <alignment horizontal="center" vertical="center" wrapText="1"/>
    </xf>
    <xf numFmtId="164" fontId="7" fillId="35" borderId="30" xfId="0" applyNumberFormat="1" applyFont="1" applyFill="1" applyBorder="1" applyAlignment="1">
      <alignment horizontal="center" vertical="top" wrapText="1"/>
    </xf>
    <xf numFmtId="0" fontId="7" fillId="36" borderId="28" xfId="0" applyFont="1" applyFill="1" applyBorder="1" applyAlignment="1">
      <alignment horizontal="center" vertical="top" wrapText="1"/>
    </xf>
    <xf numFmtId="164" fontId="7" fillId="36" borderId="52" xfId="0" applyNumberFormat="1" applyFont="1" applyFill="1" applyBorder="1" applyAlignment="1">
      <alignment horizontal="center" vertical="top" wrapText="1"/>
    </xf>
    <xf numFmtId="0" fontId="5" fillId="35" borderId="132" xfId="0" applyFont="1" applyFill="1" applyBorder="1" applyAlignment="1">
      <alignment horizontal="center" vertical="top"/>
    </xf>
    <xf numFmtId="16" fontId="4" fillId="35" borderId="11" xfId="0" applyNumberFormat="1" applyFont="1" applyFill="1" applyBorder="1" applyAlignment="1">
      <alignment horizontal="center" vertical="top" wrapText="1"/>
    </xf>
    <xf numFmtId="0" fontId="4" fillId="35" borderId="88" xfId="0" applyFont="1" applyFill="1" applyBorder="1" applyAlignment="1">
      <alignment horizontal="center" vertical="top" wrapText="1"/>
    </xf>
    <xf numFmtId="0" fontId="4" fillId="35" borderId="48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top" wrapText="1"/>
    </xf>
    <xf numFmtId="164" fontId="7" fillId="35" borderId="66" xfId="0" applyNumberFormat="1" applyFont="1" applyFill="1" applyBorder="1" applyAlignment="1">
      <alignment horizontal="center" vertical="top" wrapText="1"/>
    </xf>
    <xf numFmtId="0" fontId="4" fillId="35" borderId="137" xfId="0" applyFont="1" applyFill="1" applyBorder="1" applyAlignment="1">
      <alignment horizontal="left" vertical="top" wrapText="1"/>
    </xf>
    <xf numFmtId="164" fontId="7" fillId="36" borderId="1" xfId="0" applyNumberFormat="1" applyFont="1" applyFill="1" applyBorder="1" applyAlignment="1">
      <alignment horizontal="center" vertical="center" wrapText="1"/>
    </xf>
    <xf numFmtId="164" fontId="5" fillId="36" borderId="1" xfId="0" applyNumberFormat="1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4" fillId="36" borderId="87" xfId="0" applyFont="1" applyFill="1" applyBorder="1" applyAlignment="1">
      <alignment horizontal="left" vertical="top" wrapText="1"/>
    </xf>
    <xf numFmtId="0" fontId="11" fillId="35" borderId="1" xfId="0" applyFont="1" applyFill="1" applyBorder="1" applyAlignment="1">
      <alignment horizontal="center" vertical="center" wrapText="1"/>
    </xf>
    <xf numFmtId="164" fontId="7" fillId="35" borderId="1" xfId="0" applyNumberFormat="1" applyFont="1" applyFill="1" applyBorder="1" applyAlignment="1">
      <alignment horizontal="center" vertical="center" wrapText="1"/>
    </xf>
    <xf numFmtId="164" fontId="5" fillId="35" borderId="1" xfId="0" applyNumberFormat="1" applyFont="1" applyFill="1" applyBorder="1" applyAlignment="1">
      <alignment horizontal="center" vertical="center" wrapText="1"/>
    </xf>
    <xf numFmtId="14" fontId="4" fillId="35" borderId="1" xfId="0" applyNumberFormat="1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8" fillId="35" borderId="13" xfId="0" applyNumberFormat="1" applyFont="1" applyFill="1" applyBorder="1" applyAlignment="1">
      <alignment horizontal="center" vertical="center" wrapText="1"/>
    </xf>
    <xf numFmtId="0" fontId="8" fillId="35" borderId="32" xfId="0" applyNumberFormat="1" applyFont="1" applyFill="1" applyBorder="1" applyAlignment="1">
      <alignment horizontal="center" vertical="center" wrapText="1"/>
    </xf>
    <xf numFmtId="0" fontId="8" fillId="35" borderId="20" xfId="0" applyNumberFormat="1" applyFont="1" applyFill="1" applyBorder="1" applyAlignment="1">
      <alignment horizontal="center" vertical="center" wrapText="1"/>
    </xf>
    <xf numFmtId="0" fontId="8" fillId="35" borderId="35" xfId="0" applyNumberFormat="1" applyFont="1" applyFill="1" applyBorder="1" applyAlignment="1">
      <alignment horizontal="center" vertical="center" wrapText="1"/>
    </xf>
    <xf numFmtId="0" fontId="8" fillId="35" borderId="19" xfId="0" applyNumberFormat="1" applyFont="1" applyFill="1" applyBorder="1" applyAlignment="1">
      <alignment horizontal="center" vertical="center" wrapText="1"/>
    </xf>
    <xf numFmtId="49" fontId="5" fillId="35" borderId="132" xfId="0" applyNumberFormat="1" applyFont="1" applyFill="1" applyBorder="1" applyAlignment="1">
      <alignment horizontal="center" vertical="top"/>
    </xf>
    <xf numFmtId="49" fontId="5" fillId="35" borderId="130" xfId="0" applyNumberFormat="1" applyFont="1" applyFill="1" applyBorder="1" applyAlignment="1">
      <alignment horizontal="center" vertical="top"/>
    </xf>
    <xf numFmtId="49" fontId="5" fillId="35" borderId="133" xfId="0" applyNumberFormat="1" applyFont="1" applyFill="1" applyBorder="1" applyAlignment="1">
      <alignment horizontal="center" vertical="top"/>
    </xf>
    <xf numFmtId="2" fontId="4" fillId="35" borderId="11" xfId="0" applyNumberFormat="1" applyFont="1" applyFill="1" applyBorder="1" applyAlignment="1">
      <alignment horizontal="center" vertical="top" wrapText="1"/>
    </xf>
    <xf numFmtId="2" fontId="4" fillId="35" borderId="13" xfId="0" applyNumberFormat="1" applyFont="1" applyFill="1" applyBorder="1" applyAlignment="1">
      <alignment horizontal="center" vertical="top" wrapText="1"/>
    </xf>
    <xf numFmtId="2" fontId="4" fillId="35" borderId="32" xfId="0" applyNumberFormat="1" applyFont="1" applyFill="1" applyBorder="1" applyAlignment="1">
      <alignment horizontal="center" vertical="top" wrapText="1"/>
    </xf>
    <xf numFmtId="2" fontId="4" fillId="35" borderId="20" xfId="0" applyNumberFormat="1" applyFont="1" applyFill="1" applyBorder="1" applyAlignment="1">
      <alignment horizontal="center" vertical="top" wrapText="1"/>
    </xf>
    <xf numFmtId="2" fontId="4" fillId="35" borderId="35" xfId="0" applyNumberFormat="1" applyFont="1" applyFill="1" applyBorder="1" applyAlignment="1">
      <alignment horizontal="center" vertical="top" wrapText="1"/>
    </xf>
    <xf numFmtId="2" fontId="4" fillId="35" borderId="19" xfId="0" applyNumberFormat="1" applyFont="1" applyFill="1" applyBorder="1" applyAlignment="1">
      <alignment horizontal="center" vertical="top" wrapText="1"/>
    </xf>
    <xf numFmtId="164" fontId="5" fillId="35" borderId="1" xfId="0" applyNumberFormat="1" applyFont="1" applyFill="1" applyBorder="1" applyAlignment="1">
      <alignment horizontal="center" vertical="top" wrapText="1"/>
    </xf>
    <xf numFmtId="0" fontId="11" fillId="35" borderId="1" xfId="0" applyFont="1" applyFill="1" applyBorder="1" applyAlignment="1">
      <alignment horizontal="center" vertical="top" wrapText="1"/>
    </xf>
    <xf numFmtId="164" fontId="7" fillId="35" borderId="1" xfId="59" applyNumberFormat="1" applyFont="1" applyFill="1" applyBorder="1" applyAlignment="1" applyProtection="1">
      <alignment horizontal="center" vertical="center" wrapText="1"/>
      <protection/>
    </xf>
    <xf numFmtId="49" fontId="4" fillId="35" borderId="93" xfId="0" applyNumberFormat="1" applyFont="1" applyFill="1" applyBorder="1" applyAlignment="1">
      <alignment horizontal="center" vertical="center"/>
    </xf>
    <xf numFmtId="49" fontId="12" fillId="35" borderId="1" xfId="0" applyNumberFormat="1" applyFont="1" applyFill="1" applyBorder="1" applyAlignment="1">
      <alignment horizontal="center" vertical="center" wrapText="1"/>
    </xf>
    <xf numFmtId="0" fontId="11" fillId="35" borderId="87" xfId="0" applyNumberFormat="1" applyFont="1" applyFill="1" applyBorder="1" applyAlignment="1">
      <alignment horizontal="center" vertical="top" wrapText="1"/>
    </xf>
    <xf numFmtId="0" fontId="13" fillId="35" borderId="1" xfId="0" applyFont="1" applyFill="1" applyBorder="1" applyAlignment="1">
      <alignment horizontal="center" vertical="center" wrapText="1"/>
    </xf>
    <xf numFmtId="0" fontId="5" fillId="36" borderId="93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 wrapText="1"/>
    </xf>
    <xf numFmtId="0" fontId="4" fillId="36" borderId="142" xfId="0" applyFont="1" applyFill="1" applyBorder="1" applyAlignment="1">
      <alignment horizontal="center" vertical="center" wrapText="1"/>
    </xf>
    <xf numFmtId="0" fontId="12" fillId="36" borderId="1" xfId="0" applyFont="1" applyFill="1" applyBorder="1" applyAlignment="1">
      <alignment horizontal="center" vertical="center" wrapText="1"/>
    </xf>
    <xf numFmtId="0" fontId="11" fillId="36" borderId="8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3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88" xfId="0" applyFont="1" applyFill="1" applyBorder="1" applyAlignment="1">
      <alignment horizontal="center" vertical="top" wrapText="1"/>
    </xf>
    <xf numFmtId="0" fontId="5" fillId="0" borderId="9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87" xfId="0" applyFont="1" applyFill="1" applyBorder="1" applyAlignment="1">
      <alignment horizontal="left" wrapText="1"/>
    </xf>
    <xf numFmtId="0" fontId="5" fillId="0" borderId="93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87" xfId="0" applyNumberFormat="1" applyFont="1" applyFill="1" applyBorder="1" applyAlignment="1">
      <alignment horizontal="left" vertical="top" wrapText="1"/>
    </xf>
    <xf numFmtId="49" fontId="8" fillId="0" borderId="93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49" fontId="8" fillId="0" borderId="87" xfId="0" applyNumberFormat="1" applyFont="1" applyFill="1" applyBorder="1" applyAlignment="1">
      <alignment horizontal="left"/>
    </xf>
    <xf numFmtId="0" fontId="9" fillId="35" borderId="1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3" fillId="35" borderId="87" xfId="0" applyFont="1" applyFill="1" applyBorder="1" applyAlignment="1">
      <alignment horizontal="center" vertical="top" wrapText="1"/>
    </xf>
    <xf numFmtId="0" fontId="11" fillId="36" borderId="37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top" wrapText="1"/>
    </xf>
    <xf numFmtId="0" fontId="4" fillId="36" borderId="152" xfId="0" applyFont="1" applyFill="1" applyBorder="1" applyAlignment="1">
      <alignment horizontal="center" vertical="top" wrapText="1"/>
    </xf>
    <xf numFmtId="0" fontId="5" fillId="36" borderId="194" xfId="0" applyFont="1" applyFill="1" applyBorder="1" applyAlignment="1">
      <alignment horizontal="center" vertical="top"/>
    </xf>
    <xf numFmtId="0" fontId="5" fillId="36" borderId="192" xfId="0" applyFont="1" applyFill="1" applyBorder="1" applyAlignment="1">
      <alignment horizontal="center" vertical="top"/>
    </xf>
    <xf numFmtId="16" fontId="4" fillId="36" borderId="71" xfId="0" applyNumberFormat="1" applyFont="1" applyFill="1" applyBorder="1" applyAlignment="1">
      <alignment horizontal="center" vertical="top" wrapText="1"/>
    </xf>
    <xf numFmtId="16" fontId="4" fillId="36" borderId="152" xfId="0" applyNumberFormat="1" applyFont="1" applyFill="1" applyBorder="1" applyAlignment="1">
      <alignment horizontal="center" vertical="top" wrapText="1"/>
    </xf>
    <xf numFmtId="16" fontId="4" fillId="36" borderId="103" xfId="0" applyNumberFormat="1" applyFont="1" applyFill="1" applyBorder="1" applyAlignment="1">
      <alignment horizontal="center" vertical="top" wrapText="1"/>
    </xf>
    <xf numFmtId="0" fontId="5" fillId="36" borderId="195" xfId="0" applyFont="1" applyFill="1" applyBorder="1" applyAlignment="1">
      <alignment horizontal="center" vertical="top"/>
    </xf>
    <xf numFmtId="0" fontId="5" fillId="36" borderId="196" xfId="0" applyFont="1" applyFill="1" applyBorder="1" applyAlignment="1">
      <alignment horizontal="center" vertical="top"/>
    </xf>
    <xf numFmtId="0" fontId="5" fillId="36" borderId="102" xfId="0" applyFont="1" applyFill="1" applyBorder="1" applyAlignment="1">
      <alignment horizontal="center" vertical="top"/>
    </xf>
    <xf numFmtId="0" fontId="5" fillId="36" borderId="155" xfId="0" applyFont="1" applyFill="1" applyBorder="1" applyAlignment="1">
      <alignment horizontal="center" vertical="top"/>
    </xf>
    <xf numFmtId="0" fontId="5" fillId="36" borderId="112" xfId="0" applyFont="1" applyFill="1" applyBorder="1" applyAlignment="1">
      <alignment horizontal="center" vertical="top"/>
    </xf>
    <xf numFmtId="0" fontId="6" fillId="36" borderId="118" xfId="0" applyFont="1" applyFill="1" applyBorder="1" applyAlignment="1">
      <alignment horizontal="center" vertical="top"/>
    </xf>
    <xf numFmtId="0" fontId="6" fillId="36" borderId="114" xfId="0" applyFont="1" applyFill="1" applyBorder="1" applyAlignment="1">
      <alignment horizontal="center" vertical="top"/>
    </xf>
    <xf numFmtId="0" fontId="6" fillId="36" borderId="197" xfId="0" applyFont="1" applyFill="1" applyBorder="1" applyAlignment="1">
      <alignment horizontal="center" vertical="top"/>
    </xf>
    <xf numFmtId="0" fontId="6" fillId="36" borderId="149" xfId="0" applyFont="1" applyFill="1" applyBorder="1" applyAlignment="1">
      <alignment horizontal="center" vertical="top"/>
    </xf>
    <xf numFmtId="0" fontId="6" fillId="36" borderId="0" xfId="0" applyFont="1" applyFill="1" applyBorder="1" applyAlignment="1">
      <alignment horizontal="center" vertical="top"/>
    </xf>
    <xf numFmtId="0" fontId="5" fillId="36" borderId="71" xfId="0" applyFont="1" applyFill="1" applyBorder="1" applyAlignment="1">
      <alignment horizontal="center" vertical="center"/>
    </xf>
    <xf numFmtId="0" fontId="5" fillId="36" borderId="152" xfId="0" applyFont="1" applyFill="1" applyBorder="1" applyAlignment="1">
      <alignment horizontal="center" vertical="center"/>
    </xf>
    <xf numFmtId="0" fontId="5" fillId="36" borderId="67" xfId="0" applyFont="1" applyFill="1" applyBorder="1" applyAlignment="1">
      <alignment horizontal="center" vertical="top"/>
    </xf>
    <xf numFmtId="0" fontId="5" fillId="36" borderId="71" xfId="0" applyFont="1" applyFill="1" applyBorder="1" applyAlignment="1">
      <alignment horizontal="center" vertical="top"/>
    </xf>
    <xf numFmtId="0" fontId="3" fillId="35" borderId="102" xfId="0" applyFont="1" applyFill="1" applyBorder="1" applyAlignment="1">
      <alignment horizontal="center"/>
    </xf>
    <xf numFmtId="0" fontId="3" fillId="35" borderId="155" xfId="0" applyFont="1" applyFill="1" applyBorder="1" applyAlignment="1">
      <alignment horizontal="center"/>
    </xf>
    <xf numFmtId="0" fontId="3" fillId="35" borderId="112" xfId="0" applyFont="1" applyFill="1" applyBorder="1" applyAlignment="1">
      <alignment horizontal="center"/>
    </xf>
    <xf numFmtId="0" fontId="6" fillId="36" borderId="75" xfId="0" applyFont="1" applyFill="1" applyBorder="1" applyAlignment="1">
      <alignment horizontal="center" vertical="top" wrapText="1"/>
    </xf>
    <xf numFmtId="0" fontId="6" fillId="36" borderId="78" xfId="0" applyFont="1" applyFill="1" applyBorder="1" applyAlignment="1">
      <alignment horizontal="center" vertical="top" wrapText="1"/>
    </xf>
    <xf numFmtId="0" fontId="6" fillId="36" borderId="80" xfId="0" applyFont="1" applyFill="1" applyBorder="1" applyAlignment="1">
      <alignment horizontal="center" vertical="top" wrapText="1"/>
    </xf>
    <xf numFmtId="0" fontId="7" fillId="36" borderId="114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5" fillId="36" borderId="114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1"/>
  <sheetViews>
    <sheetView tabSelected="1" view="pageBreakPreview" zoomScale="70" zoomScaleNormal="70" zoomScaleSheetLayoutView="70" zoomScalePageLayoutView="0" workbookViewId="0" topLeftCell="A533">
      <selection activeCell="E626" sqref="E626"/>
    </sheetView>
  </sheetViews>
  <sheetFormatPr defaultColWidth="9.00390625" defaultRowHeight="12.75"/>
  <cols>
    <col min="1" max="1" width="8.375" style="1" customWidth="1"/>
    <col min="2" max="2" width="49.125" style="2" customWidth="1"/>
    <col min="3" max="3" width="21.375" style="2" customWidth="1"/>
    <col min="4" max="4" width="13.625" style="2" customWidth="1"/>
    <col min="5" max="5" width="22.75390625" style="2" customWidth="1"/>
    <col min="6" max="6" width="24.875" style="2" customWidth="1"/>
    <col min="7" max="7" width="20.75390625" style="2" customWidth="1"/>
    <col min="8" max="8" width="20.00390625" style="2" customWidth="1"/>
    <col min="9" max="9" width="21.625" style="2" customWidth="1"/>
    <col min="10" max="10" width="31.625" style="2" customWidth="1"/>
    <col min="11" max="11" width="21.25390625" style="2" customWidth="1"/>
    <col min="12" max="12" width="28.125" style="3" customWidth="1"/>
    <col min="13" max="13" width="62.125" style="4" customWidth="1"/>
    <col min="14" max="16" width="9.125" style="5" customWidth="1"/>
    <col min="17" max="17" width="23.125" style="5" customWidth="1"/>
    <col min="18" max="18" width="31.75390625" style="5" customWidth="1"/>
    <col min="19" max="19" width="29.125" style="5" customWidth="1"/>
    <col min="20" max="20" width="25.75390625" style="5" customWidth="1"/>
    <col min="21" max="21" width="34.625" style="5" customWidth="1"/>
    <col min="22" max="16384" width="9.125" style="5" customWidth="1"/>
  </cols>
  <sheetData>
    <row r="1" spans="10:13" ht="27" customHeight="1">
      <c r="J1" s="983" t="s">
        <v>0</v>
      </c>
      <c r="K1" s="983"/>
      <c r="L1" s="983"/>
      <c r="M1" s="983"/>
    </row>
    <row r="2" spans="10:13" ht="36" customHeight="1">
      <c r="J2" s="984" t="s">
        <v>1</v>
      </c>
      <c r="K2" s="984"/>
      <c r="L2" s="984"/>
      <c r="M2" s="984"/>
    </row>
    <row r="3" spans="1:13" s="2" customFormat="1" ht="18.75" customHeight="1">
      <c r="A3" s="1"/>
      <c r="B3" s="985" t="s">
        <v>2</v>
      </c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4"/>
    </row>
    <row r="4" spans="1:13" s="2" customFormat="1" ht="19.5" thickBot="1">
      <c r="A4" s="1"/>
      <c r="J4" s="2" t="s">
        <v>3</v>
      </c>
      <c r="L4" s="3"/>
      <c r="M4" s="4"/>
    </row>
    <row r="5" spans="1:13" s="2" customFormat="1" ht="28.5" customHeight="1">
      <c r="A5" s="986"/>
      <c r="B5" s="988" t="s">
        <v>4</v>
      </c>
      <c r="C5" s="988"/>
      <c r="D5" s="989" t="s">
        <v>5</v>
      </c>
      <c r="E5" s="988" t="s">
        <v>6</v>
      </c>
      <c r="F5" s="988" t="s">
        <v>7</v>
      </c>
      <c r="G5" s="988"/>
      <c r="H5" s="988"/>
      <c r="I5" s="988"/>
      <c r="J5" s="988"/>
      <c r="K5" s="988" t="s">
        <v>8</v>
      </c>
      <c r="L5" s="988" t="s">
        <v>9</v>
      </c>
      <c r="M5" s="979" t="s">
        <v>10</v>
      </c>
    </row>
    <row r="6" spans="1:13" s="2" customFormat="1" ht="28.5" customHeight="1">
      <c r="A6" s="987"/>
      <c r="B6" s="982"/>
      <c r="C6" s="982"/>
      <c r="D6" s="990"/>
      <c r="E6" s="982"/>
      <c r="F6" s="981" t="s">
        <v>11</v>
      </c>
      <c r="G6" s="982" t="s">
        <v>12</v>
      </c>
      <c r="H6" s="982"/>
      <c r="I6" s="982"/>
      <c r="J6" s="982"/>
      <c r="K6" s="982"/>
      <c r="L6" s="982"/>
      <c r="M6" s="980"/>
    </row>
    <row r="7" spans="1:13" s="2" customFormat="1" ht="28.5" customHeight="1">
      <c r="A7" s="987"/>
      <c r="B7" s="982"/>
      <c r="C7" s="982"/>
      <c r="D7" s="990"/>
      <c r="E7" s="982"/>
      <c r="F7" s="981"/>
      <c r="G7" s="982" t="s">
        <v>13</v>
      </c>
      <c r="H7" s="982"/>
      <c r="I7" s="982"/>
      <c r="J7" s="982" t="s">
        <v>14</v>
      </c>
      <c r="K7" s="982"/>
      <c r="L7" s="982"/>
      <c r="M7" s="980"/>
    </row>
    <row r="8" spans="1:13" s="2" customFormat="1" ht="28.5" customHeight="1">
      <c r="A8" s="987"/>
      <c r="B8" s="982"/>
      <c r="C8" s="982"/>
      <c r="D8" s="990"/>
      <c r="E8" s="982"/>
      <c r="F8" s="981"/>
      <c r="G8" s="982" t="s">
        <v>15</v>
      </c>
      <c r="H8" s="982" t="s">
        <v>16</v>
      </c>
      <c r="I8" s="982"/>
      <c r="J8" s="982"/>
      <c r="K8" s="982"/>
      <c r="L8" s="982"/>
      <c r="M8" s="980"/>
    </row>
    <row r="9" spans="1:13" s="2" customFormat="1" ht="73.5" customHeight="1">
      <c r="A9" s="987"/>
      <c r="B9" s="982"/>
      <c r="C9" s="982"/>
      <c r="D9" s="990"/>
      <c r="E9" s="982"/>
      <c r="F9" s="981"/>
      <c r="G9" s="982"/>
      <c r="H9" s="6" t="s">
        <v>17</v>
      </c>
      <c r="I9" s="6" t="s">
        <v>18</v>
      </c>
      <c r="J9" s="982"/>
      <c r="K9" s="982"/>
      <c r="L9" s="982"/>
      <c r="M9" s="980"/>
    </row>
    <row r="10" spans="1:13" s="8" customFormat="1" ht="20.25" customHeight="1">
      <c r="A10" s="611">
        <v>1</v>
      </c>
      <c r="B10" s="962">
        <v>2</v>
      </c>
      <c r="C10" s="962"/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612">
        <v>12</v>
      </c>
    </row>
    <row r="11" spans="1:13" s="9" customFormat="1" ht="24" customHeight="1">
      <c r="A11" s="963" t="s">
        <v>19</v>
      </c>
      <c r="B11" s="964"/>
      <c r="C11" s="964"/>
      <c r="D11" s="964"/>
      <c r="E11" s="964"/>
      <c r="F11" s="964"/>
      <c r="G11" s="964"/>
      <c r="H11" s="964"/>
      <c r="I11" s="964"/>
      <c r="J11" s="964"/>
      <c r="K11" s="964"/>
      <c r="L11" s="964"/>
      <c r="M11" s="965"/>
    </row>
    <row r="12" spans="1:13" s="3" customFormat="1" ht="51" customHeight="1">
      <c r="A12" s="966" t="s">
        <v>20</v>
      </c>
      <c r="B12" s="967"/>
      <c r="C12" s="967"/>
      <c r="D12" s="967"/>
      <c r="E12" s="967"/>
      <c r="F12" s="967"/>
      <c r="G12" s="967"/>
      <c r="H12" s="967"/>
      <c r="I12" s="967"/>
      <c r="J12" s="967"/>
      <c r="K12" s="967"/>
      <c r="L12" s="967"/>
      <c r="M12" s="968"/>
    </row>
    <row r="13" spans="1:13" s="8" customFormat="1" ht="95.25" customHeight="1">
      <c r="A13" s="969" t="s">
        <v>21</v>
      </c>
      <c r="B13" s="970"/>
      <c r="C13" s="970"/>
      <c r="D13" s="970"/>
      <c r="E13" s="970"/>
      <c r="F13" s="970"/>
      <c r="G13" s="970"/>
      <c r="H13" s="970"/>
      <c r="I13" s="970"/>
      <c r="J13" s="970"/>
      <c r="K13" s="970"/>
      <c r="L13" s="970"/>
      <c r="M13" s="971"/>
    </row>
    <row r="14" spans="1:13" s="8" customFormat="1" ht="21" thickBot="1">
      <c r="A14" s="972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4"/>
    </row>
    <row r="15" spans="1:13" s="48" customFormat="1" ht="42" customHeight="1" thickBot="1">
      <c r="A15" s="855" t="s">
        <v>22</v>
      </c>
      <c r="B15" s="975" t="s">
        <v>23</v>
      </c>
      <c r="C15" s="46" t="s">
        <v>15</v>
      </c>
      <c r="D15" s="46">
        <v>2020</v>
      </c>
      <c r="E15" s="47">
        <f aca="true" t="shared" si="0" ref="E15:K15">E17+E18+E23+E24</f>
        <v>1128.3</v>
      </c>
      <c r="F15" s="47">
        <f t="shared" si="0"/>
        <v>0</v>
      </c>
      <c r="G15" s="47">
        <f t="shared" si="0"/>
        <v>1117</v>
      </c>
      <c r="H15" s="47">
        <f t="shared" si="0"/>
        <v>1094.7</v>
      </c>
      <c r="I15" s="47">
        <f t="shared" si="0"/>
        <v>22.3</v>
      </c>
      <c r="J15" s="47">
        <f t="shared" si="0"/>
        <v>11.299999999999997</v>
      </c>
      <c r="K15" s="47">
        <f t="shared" si="0"/>
        <v>0</v>
      </c>
      <c r="L15" s="46" t="s">
        <v>24</v>
      </c>
      <c r="M15" s="977" t="s">
        <v>25</v>
      </c>
    </row>
    <row r="16" spans="1:13" s="48" customFormat="1" ht="34.5" customHeight="1" thickBot="1">
      <c r="A16" s="855"/>
      <c r="B16" s="975"/>
      <c r="C16" s="46" t="s">
        <v>26</v>
      </c>
      <c r="D16" s="46">
        <v>2021</v>
      </c>
      <c r="E16" s="47">
        <f aca="true" t="shared" si="1" ref="E16:K16">E19+E20</f>
        <v>2084.7000000000003</v>
      </c>
      <c r="F16" s="47">
        <f t="shared" si="1"/>
        <v>0</v>
      </c>
      <c r="G16" s="47">
        <f t="shared" si="1"/>
        <v>2063.8</v>
      </c>
      <c r="H16" s="47">
        <f t="shared" si="1"/>
        <v>2022.4</v>
      </c>
      <c r="I16" s="47">
        <f t="shared" si="1"/>
        <v>41.4</v>
      </c>
      <c r="J16" s="47">
        <f t="shared" si="1"/>
        <v>20.9</v>
      </c>
      <c r="K16" s="47">
        <f t="shared" si="1"/>
        <v>0</v>
      </c>
      <c r="L16" s="46"/>
      <c r="M16" s="977"/>
    </row>
    <row r="17" spans="1:13" s="52" customFormat="1" ht="32.25" customHeight="1">
      <c r="A17" s="855"/>
      <c r="B17" s="975"/>
      <c r="C17" s="606" t="s">
        <v>27</v>
      </c>
      <c r="D17" s="606">
        <v>2020</v>
      </c>
      <c r="E17" s="50">
        <f aca="true" t="shared" si="2" ref="E17:E24">F17+G17+J17+K17</f>
        <v>0</v>
      </c>
      <c r="F17" s="51"/>
      <c r="G17" s="50">
        <f aca="true" t="shared" si="3" ref="G17:G24">H17+I17</f>
        <v>0</v>
      </c>
      <c r="H17" s="50">
        <f>557-557</f>
        <v>0</v>
      </c>
      <c r="I17" s="50">
        <v>0</v>
      </c>
      <c r="J17" s="50">
        <f>83.33-83.33</f>
        <v>0</v>
      </c>
      <c r="K17" s="50">
        <v>0</v>
      </c>
      <c r="L17" s="49" t="s">
        <v>27</v>
      </c>
      <c r="M17" s="977"/>
    </row>
    <row r="18" spans="1:13" s="52" customFormat="1" ht="30" customHeight="1" thickBot="1">
      <c r="A18" s="855"/>
      <c r="B18" s="976"/>
      <c r="C18" s="498" t="s">
        <v>24</v>
      </c>
      <c r="D18" s="498">
        <v>2020</v>
      </c>
      <c r="E18" s="602">
        <f t="shared" si="2"/>
        <v>1128.3</v>
      </c>
      <c r="F18" s="481"/>
      <c r="G18" s="482">
        <f t="shared" si="3"/>
        <v>1117</v>
      </c>
      <c r="H18" s="482">
        <v>1094.7</v>
      </c>
      <c r="I18" s="482">
        <v>22.3</v>
      </c>
      <c r="J18" s="482">
        <f>83.678-72.378</f>
        <v>11.299999999999997</v>
      </c>
      <c r="K18" s="482">
        <v>0</v>
      </c>
      <c r="L18" s="53" t="s">
        <v>24</v>
      </c>
      <c r="M18" s="977"/>
    </row>
    <row r="19" spans="1:13" s="52" customFormat="1" ht="28.5" customHeight="1">
      <c r="A19" s="855"/>
      <c r="B19" s="976"/>
      <c r="C19" s="498" t="s">
        <v>27</v>
      </c>
      <c r="D19" s="498">
        <v>2021</v>
      </c>
      <c r="E19" s="602">
        <f t="shared" si="2"/>
        <v>2084.7000000000003</v>
      </c>
      <c r="F19" s="481"/>
      <c r="G19" s="482">
        <f t="shared" si="3"/>
        <v>2063.8</v>
      </c>
      <c r="H19" s="482">
        <f>1537.4+485</f>
        <v>2022.4</v>
      </c>
      <c r="I19" s="482">
        <f>31.4+10</f>
        <v>41.4</v>
      </c>
      <c r="J19" s="482">
        <f>15.9+5</f>
        <v>20.9</v>
      </c>
      <c r="K19" s="482">
        <v>0</v>
      </c>
      <c r="L19" s="49" t="s">
        <v>27</v>
      </c>
      <c r="M19" s="977"/>
    </row>
    <row r="20" spans="1:13" s="52" customFormat="1" ht="24.75" customHeight="1">
      <c r="A20" s="855"/>
      <c r="B20" s="976"/>
      <c r="C20" s="498" t="s">
        <v>24</v>
      </c>
      <c r="D20" s="498">
        <v>2021</v>
      </c>
      <c r="E20" s="602">
        <f t="shared" si="2"/>
        <v>0</v>
      </c>
      <c r="F20" s="481"/>
      <c r="G20" s="482">
        <f t="shared" si="3"/>
        <v>0</v>
      </c>
      <c r="H20" s="482">
        <f>565-565</f>
        <v>0</v>
      </c>
      <c r="I20" s="482">
        <v>0</v>
      </c>
      <c r="J20" s="482">
        <v>0</v>
      </c>
      <c r="K20" s="482">
        <v>0</v>
      </c>
      <c r="L20" s="53" t="s">
        <v>24</v>
      </c>
      <c r="M20" s="977"/>
    </row>
    <row r="21" spans="1:13" s="52" customFormat="1" ht="30" customHeight="1">
      <c r="A21" s="613"/>
      <c r="B21" s="976"/>
      <c r="C21" s="498" t="s">
        <v>24</v>
      </c>
      <c r="D21" s="498">
        <v>2022</v>
      </c>
      <c r="E21" s="602">
        <f t="shared" si="2"/>
        <v>0</v>
      </c>
      <c r="F21" s="481"/>
      <c r="G21" s="482">
        <f t="shared" si="3"/>
        <v>0</v>
      </c>
      <c r="H21" s="482">
        <v>0</v>
      </c>
      <c r="I21" s="482">
        <v>0</v>
      </c>
      <c r="J21" s="482">
        <v>0</v>
      </c>
      <c r="K21" s="482">
        <v>0</v>
      </c>
      <c r="L21" s="54"/>
      <c r="M21" s="977"/>
    </row>
    <row r="22" spans="1:13" s="52" customFormat="1" ht="27" customHeight="1" thickBot="1">
      <c r="A22" s="613"/>
      <c r="B22" s="976"/>
      <c r="C22" s="498" t="s">
        <v>24</v>
      </c>
      <c r="D22" s="498">
        <v>2023</v>
      </c>
      <c r="E22" s="602">
        <f t="shared" si="2"/>
        <v>0</v>
      </c>
      <c r="F22" s="481"/>
      <c r="G22" s="482">
        <f t="shared" si="3"/>
        <v>0</v>
      </c>
      <c r="H22" s="482">
        <v>0</v>
      </c>
      <c r="I22" s="482">
        <v>0</v>
      </c>
      <c r="J22" s="482">
        <v>0</v>
      </c>
      <c r="K22" s="482">
        <v>0</v>
      </c>
      <c r="L22" s="54"/>
      <c r="M22" s="977"/>
    </row>
    <row r="23" spans="1:13" s="52" customFormat="1" ht="43.5" customHeight="1">
      <c r="A23" s="957" t="s">
        <v>28</v>
      </c>
      <c r="B23" s="978" t="s">
        <v>29</v>
      </c>
      <c r="C23" s="498" t="s">
        <v>27</v>
      </c>
      <c r="D23" s="498">
        <v>2020</v>
      </c>
      <c r="E23" s="602">
        <f t="shared" si="2"/>
        <v>0</v>
      </c>
      <c r="F23" s="467"/>
      <c r="G23" s="482">
        <f t="shared" si="3"/>
        <v>0</v>
      </c>
      <c r="H23" s="482">
        <v>0</v>
      </c>
      <c r="I23" s="482">
        <v>0</v>
      </c>
      <c r="J23" s="482">
        <v>0</v>
      </c>
      <c r="K23" s="482">
        <v>0</v>
      </c>
      <c r="L23" s="49" t="s">
        <v>27</v>
      </c>
      <c r="M23" s="977"/>
    </row>
    <row r="24" spans="1:13" s="52" customFormat="1" ht="45.75" customHeight="1" thickBot="1">
      <c r="A24" s="957"/>
      <c r="B24" s="978"/>
      <c r="C24" s="498" t="s">
        <v>24</v>
      </c>
      <c r="D24" s="498">
        <v>2020</v>
      </c>
      <c r="E24" s="602">
        <f t="shared" si="2"/>
        <v>0</v>
      </c>
      <c r="F24" s="467"/>
      <c r="G24" s="482">
        <f t="shared" si="3"/>
        <v>0</v>
      </c>
      <c r="H24" s="482">
        <v>0</v>
      </c>
      <c r="I24" s="482">
        <v>0</v>
      </c>
      <c r="J24" s="482">
        <v>0</v>
      </c>
      <c r="K24" s="482">
        <v>0</v>
      </c>
      <c r="L24" s="53" t="s">
        <v>24</v>
      </c>
      <c r="M24" s="977"/>
    </row>
    <row r="25" spans="1:13" s="52" customFormat="1" ht="30.75" customHeight="1" thickBot="1">
      <c r="A25" s="957" t="s">
        <v>30</v>
      </c>
      <c r="B25" s="958" t="s">
        <v>31</v>
      </c>
      <c r="C25" s="607"/>
      <c r="D25" s="456">
        <v>2021</v>
      </c>
      <c r="E25" s="603">
        <f aca="true" t="shared" si="4" ref="E25:K25">E26</f>
        <v>919.54</v>
      </c>
      <c r="F25" s="56">
        <f t="shared" si="4"/>
        <v>0</v>
      </c>
      <c r="G25" s="56">
        <f t="shared" si="4"/>
        <v>800</v>
      </c>
      <c r="H25" s="56">
        <f t="shared" si="4"/>
        <v>784</v>
      </c>
      <c r="I25" s="56">
        <f t="shared" si="4"/>
        <v>16</v>
      </c>
      <c r="J25" s="56">
        <f t="shared" si="4"/>
        <v>119.53999999999999</v>
      </c>
      <c r="K25" s="56">
        <f t="shared" si="4"/>
        <v>0</v>
      </c>
      <c r="L25" s="475"/>
      <c r="M25" s="959" t="s">
        <v>32</v>
      </c>
    </row>
    <row r="26" spans="1:13" s="52" customFormat="1" ht="33" customHeight="1" thickBot="1">
      <c r="A26" s="957"/>
      <c r="B26" s="958"/>
      <c r="C26" s="498" t="s">
        <v>24</v>
      </c>
      <c r="D26" s="456">
        <v>2021</v>
      </c>
      <c r="E26" s="602">
        <f>F26+G26+J26+K26</f>
        <v>919.54</v>
      </c>
      <c r="F26" s="481"/>
      <c r="G26" s="482">
        <f>H26+I26</f>
        <v>800</v>
      </c>
      <c r="H26" s="482">
        <v>784</v>
      </c>
      <c r="I26" s="482">
        <v>16</v>
      </c>
      <c r="J26" s="482">
        <f>119.6-0.06</f>
        <v>119.53999999999999</v>
      </c>
      <c r="K26" s="481">
        <v>0</v>
      </c>
      <c r="L26" s="53" t="s">
        <v>24</v>
      </c>
      <c r="M26" s="959"/>
    </row>
    <row r="27" spans="1:13" s="52" customFormat="1" ht="33" customHeight="1" thickBot="1">
      <c r="A27" s="957"/>
      <c r="B27" s="958"/>
      <c r="C27" s="607"/>
      <c r="D27" s="456">
        <v>2022</v>
      </c>
      <c r="E27" s="604">
        <f aca="true" t="shared" si="5" ref="E27:K27">E28</f>
        <v>747.13</v>
      </c>
      <c r="F27" s="481">
        <f t="shared" si="5"/>
        <v>0</v>
      </c>
      <c r="G27" s="481">
        <f t="shared" si="5"/>
        <v>650</v>
      </c>
      <c r="H27" s="481">
        <f t="shared" si="5"/>
        <v>637</v>
      </c>
      <c r="I27" s="481">
        <f t="shared" si="5"/>
        <v>13</v>
      </c>
      <c r="J27" s="481">
        <f t="shared" si="5"/>
        <v>97.13000000000001</v>
      </c>
      <c r="K27" s="481">
        <f t="shared" si="5"/>
        <v>0</v>
      </c>
      <c r="L27" s="57"/>
      <c r="M27" s="959"/>
    </row>
    <row r="28" spans="1:13" s="52" customFormat="1" ht="39" customHeight="1">
      <c r="A28" s="957"/>
      <c r="B28" s="958"/>
      <c r="C28" s="498" t="s">
        <v>27</v>
      </c>
      <c r="D28" s="456">
        <v>2022</v>
      </c>
      <c r="E28" s="605">
        <f>F28+G28+J28+K28</f>
        <v>747.13</v>
      </c>
      <c r="F28" s="59"/>
      <c r="G28" s="58">
        <f>H28+I28</f>
        <v>650</v>
      </c>
      <c r="H28" s="599">
        <v>637</v>
      </c>
      <c r="I28" s="599">
        <v>13</v>
      </c>
      <c r="J28" s="599">
        <f>97.2-0.07</f>
        <v>97.13000000000001</v>
      </c>
      <c r="K28" s="600">
        <v>0</v>
      </c>
      <c r="L28" s="601" t="s">
        <v>27</v>
      </c>
      <c r="M28" s="959"/>
    </row>
    <row r="29" spans="1:13" s="52" customFormat="1" ht="53.25" customHeight="1">
      <c r="A29" s="613"/>
      <c r="B29" s="958"/>
      <c r="C29" s="498"/>
      <c r="D29" s="456">
        <v>2023</v>
      </c>
      <c r="E29" s="602">
        <f>F29+G29+J29+K29</f>
        <v>0</v>
      </c>
      <c r="F29" s="481"/>
      <c r="G29" s="482">
        <f>H29+I29</f>
        <v>0</v>
      </c>
      <c r="H29" s="69">
        <v>0</v>
      </c>
      <c r="I29" s="69">
        <v>0</v>
      </c>
      <c r="J29" s="69">
        <v>0</v>
      </c>
      <c r="K29" s="174">
        <v>0</v>
      </c>
      <c r="L29" s="62"/>
      <c r="M29" s="614"/>
    </row>
    <row r="30" spans="1:13" s="52" customFormat="1" ht="39.75" customHeight="1">
      <c r="A30" s="957" t="s">
        <v>33</v>
      </c>
      <c r="B30" s="960" t="s">
        <v>34</v>
      </c>
      <c r="C30" s="180" t="s">
        <v>27</v>
      </c>
      <c r="D30" s="226">
        <v>2021</v>
      </c>
      <c r="E30" s="56">
        <f>F30+G30+J30+K30</f>
        <v>0</v>
      </c>
      <c r="F30" s="56">
        <v>0</v>
      </c>
      <c r="G30" s="56">
        <f>H30+I30</f>
        <v>0</v>
      </c>
      <c r="H30" s="481">
        <v>0</v>
      </c>
      <c r="I30" s="481">
        <v>0</v>
      </c>
      <c r="J30" s="481">
        <v>0</v>
      </c>
      <c r="K30" s="481">
        <v>0</v>
      </c>
      <c r="L30" s="55" t="s">
        <v>27</v>
      </c>
      <c r="M30" s="961" t="s">
        <v>35</v>
      </c>
    </row>
    <row r="31" spans="1:13" s="52" customFormat="1" ht="54.75" customHeight="1">
      <c r="A31" s="957"/>
      <c r="B31" s="960"/>
      <c r="C31" s="55" t="s">
        <v>36</v>
      </c>
      <c r="D31" s="471">
        <v>2022</v>
      </c>
      <c r="E31" s="481">
        <f>F31+G31+J31+K31</f>
        <v>0</v>
      </c>
      <c r="F31" s="481">
        <v>0</v>
      </c>
      <c r="G31" s="481">
        <f>H31+I31</f>
        <v>0</v>
      </c>
      <c r="H31" s="481">
        <v>0</v>
      </c>
      <c r="I31" s="481">
        <v>0</v>
      </c>
      <c r="J31" s="481">
        <v>0</v>
      </c>
      <c r="K31" s="481">
        <v>0</v>
      </c>
      <c r="L31" s="55" t="s">
        <v>36</v>
      </c>
      <c r="M31" s="961"/>
    </row>
    <row r="32" spans="1:13" s="52" customFormat="1" ht="51.75" customHeight="1">
      <c r="A32" s="957"/>
      <c r="B32" s="960"/>
      <c r="C32" s="55"/>
      <c r="D32" s="471">
        <v>2023</v>
      </c>
      <c r="E32" s="481">
        <f>F32+G32+J32+K32</f>
        <v>0</v>
      </c>
      <c r="F32" s="481"/>
      <c r="G32" s="481">
        <f>H32+I32</f>
        <v>0</v>
      </c>
      <c r="H32" s="481">
        <v>0</v>
      </c>
      <c r="I32" s="481">
        <v>0</v>
      </c>
      <c r="J32" s="481">
        <v>0</v>
      </c>
      <c r="K32" s="481">
        <v>0</v>
      </c>
      <c r="L32" s="55"/>
      <c r="M32" s="615"/>
    </row>
    <row r="33" spans="1:13" s="48" customFormat="1" ht="49.5" customHeight="1">
      <c r="A33" s="953" t="s">
        <v>37</v>
      </c>
      <c r="B33" s="954" t="s">
        <v>38</v>
      </c>
      <c r="C33" s="63"/>
      <c r="D33" s="64" t="s">
        <v>39</v>
      </c>
      <c r="E33" s="65">
        <f aca="true" t="shared" si="6" ref="E33:K33">E34+E35+E36+E37+E38+E39+E40+E41+E42</f>
        <v>3837.5</v>
      </c>
      <c r="F33" s="65">
        <f t="shared" si="6"/>
        <v>0</v>
      </c>
      <c r="G33" s="65">
        <f t="shared" si="6"/>
        <v>3799.1</v>
      </c>
      <c r="H33" s="65">
        <f t="shared" si="6"/>
        <v>3723.1</v>
      </c>
      <c r="I33" s="65">
        <f t="shared" si="6"/>
        <v>76</v>
      </c>
      <c r="J33" s="65">
        <f t="shared" si="6"/>
        <v>38.4</v>
      </c>
      <c r="K33" s="65">
        <f t="shared" si="6"/>
        <v>0</v>
      </c>
      <c r="L33" s="66"/>
      <c r="M33" s="955" t="s">
        <v>40</v>
      </c>
    </row>
    <row r="34" spans="1:13" s="52" customFormat="1" ht="30" customHeight="1">
      <c r="A34" s="953"/>
      <c r="B34" s="954"/>
      <c r="C34" s="67" t="s">
        <v>27</v>
      </c>
      <c r="D34" s="68" t="s">
        <v>39</v>
      </c>
      <c r="E34" s="482">
        <f aca="true" t="shared" si="7" ref="E34:E42">F34+G34+J34+K34</f>
        <v>1918.75</v>
      </c>
      <c r="F34" s="69"/>
      <c r="G34" s="482">
        <f aca="true" t="shared" si="8" ref="G34:G42">H34+I34</f>
        <v>1899.55</v>
      </c>
      <c r="H34" s="482">
        <v>1861.55</v>
      </c>
      <c r="I34" s="482">
        <v>38</v>
      </c>
      <c r="J34" s="482">
        <v>19.2</v>
      </c>
      <c r="K34" s="482">
        <v>0</v>
      </c>
      <c r="L34" s="55" t="s">
        <v>27</v>
      </c>
      <c r="M34" s="955"/>
    </row>
    <row r="35" spans="1:13" s="52" customFormat="1" ht="57.75" customHeight="1">
      <c r="A35" s="953"/>
      <c r="B35" s="954"/>
      <c r="C35" s="67" t="s">
        <v>24</v>
      </c>
      <c r="D35" s="68" t="s">
        <v>39</v>
      </c>
      <c r="E35" s="482">
        <f t="shared" si="7"/>
        <v>1918.75</v>
      </c>
      <c r="F35" s="70"/>
      <c r="G35" s="482">
        <f t="shared" si="8"/>
        <v>1899.55</v>
      </c>
      <c r="H35" s="482">
        <v>1861.55</v>
      </c>
      <c r="I35" s="69">
        <v>38</v>
      </c>
      <c r="J35" s="69">
        <v>19.2</v>
      </c>
      <c r="K35" s="69">
        <v>0</v>
      </c>
      <c r="L35" s="55" t="s">
        <v>36</v>
      </c>
      <c r="M35" s="955"/>
    </row>
    <row r="36" spans="1:13" s="52" customFormat="1" ht="172.5" customHeight="1">
      <c r="A36" s="616" t="s">
        <v>41</v>
      </c>
      <c r="B36" s="71" t="s">
        <v>42</v>
      </c>
      <c r="C36" s="67" t="s">
        <v>27</v>
      </c>
      <c r="D36" s="68" t="s">
        <v>39</v>
      </c>
      <c r="E36" s="481">
        <f t="shared" si="7"/>
        <v>0</v>
      </c>
      <c r="F36" s="72">
        <v>0</v>
      </c>
      <c r="G36" s="482">
        <f t="shared" si="8"/>
        <v>0</v>
      </c>
      <c r="H36" s="72">
        <v>0</v>
      </c>
      <c r="I36" s="72">
        <v>0</v>
      </c>
      <c r="J36" s="72">
        <v>0</v>
      </c>
      <c r="K36" s="72">
        <v>0</v>
      </c>
      <c r="L36" s="67" t="s">
        <v>27</v>
      </c>
      <c r="M36" s="955"/>
    </row>
    <row r="37" spans="1:13" s="48" customFormat="1" ht="117" customHeight="1">
      <c r="A37" s="617" t="s">
        <v>43</v>
      </c>
      <c r="B37" s="73" t="s">
        <v>44</v>
      </c>
      <c r="C37" s="491" t="s">
        <v>27</v>
      </c>
      <c r="D37" s="64" t="s">
        <v>39</v>
      </c>
      <c r="E37" s="485">
        <f t="shared" si="7"/>
        <v>0</v>
      </c>
      <c r="F37" s="65">
        <v>0</v>
      </c>
      <c r="G37" s="485">
        <f t="shared" si="8"/>
        <v>0</v>
      </c>
      <c r="H37" s="65">
        <v>0</v>
      </c>
      <c r="I37" s="65">
        <v>0</v>
      </c>
      <c r="J37" s="65">
        <v>0</v>
      </c>
      <c r="K37" s="65">
        <v>0</v>
      </c>
      <c r="L37" s="491" t="s">
        <v>27</v>
      </c>
      <c r="M37" s="955"/>
    </row>
    <row r="38" spans="1:13" s="48" customFormat="1" ht="127.5" customHeight="1">
      <c r="A38" s="617" t="s">
        <v>45</v>
      </c>
      <c r="B38" s="74" t="s">
        <v>46</v>
      </c>
      <c r="C38" s="75" t="s">
        <v>47</v>
      </c>
      <c r="D38" s="487">
        <v>2021</v>
      </c>
      <c r="E38" s="485">
        <f t="shared" si="7"/>
        <v>0</v>
      </c>
      <c r="F38" s="65">
        <v>0</v>
      </c>
      <c r="G38" s="485">
        <f t="shared" si="8"/>
        <v>0</v>
      </c>
      <c r="H38" s="485">
        <v>0</v>
      </c>
      <c r="I38" s="485">
        <v>0</v>
      </c>
      <c r="J38" s="485">
        <v>0</v>
      </c>
      <c r="K38" s="485">
        <v>0</v>
      </c>
      <c r="L38" s="491" t="s">
        <v>27</v>
      </c>
      <c r="M38" s="955"/>
    </row>
    <row r="39" spans="1:13" s="48" customFormat="1" ht="187.5" customHeight="1">
      <c r="A39" s="617" t="s">
        <v>48</v>
      </c>
      <c r="B39" s="455" t="s">
        <v>49</v>
      </c>
      <c r="C39" s="75" t="s">
        <v>27</v>
      </c>
      <c r="D39" s="487">
        <v>2021</v>
      </c>
      <c r="E39" s="485">
        <f t="shared" si="7"/>
        <v>0</v>
      </c>
      <c r="F39" s="65"/>
      <c r="G39" s="485">
        <f t="shared" si="8"/>
        <v>0</v>
      </c>
      <c r="H39" s="485">
        <v>0</v>
      </c>
      <c r="I39" s="485">
        <v>0</v>
      </c>
      <c r="J39" s="485">
        <v>0</v>
      </c>
      <c r="K39" s="485">
        <v>0</v>
      </c>
      <c r="L39" s="491" t="s">
        <v>27</v>
      </c>
      <c r="M39" s="955"/>
    </row>
    <row r="40" spans="1:13" s="48" customFormat="1" ht="133.5" customHeight="1">
      <c r="A40" s="617" t="s">
        <v>50</v>
      </c>
      <c r="B40" s="455" t="s">
        <v>51</v>
      </c>
      <c r="C40" s="75" t="s">
        <v>27</v>
      </c>
      <c r="D40" s="487">
        <v>2021</v>
      </c>
      <c r="E40" s="485">
        <f t="shared" si="7"/>
        <v>0</v>
      </c>
      <c r="F40" s="65"/>
      <c r="G40" s="485">
        <f t="shared" si="8"/>
        <v>0</v>
      </c>
      <c r="H40" s="485">
        <v>0</v>
      </c>
      <c r="I40" s="485">
        <v>0</v>
      </c>
      <c r="J40" s="485">
        <v>0</v>
      </c>
      <c r="K40" s="485">
        <v>0</v>
      </c>
      <c r="L40" s="464"/>
      <c r="M40" s="955"/>
    </row>
    <row r="41" spans="1:13" s="48" customFormat="1" ht="159" customHeight="1">
      <c r="A41" s="617" t="s">
        <v>52</v>
      </c>
      <c r="B41" s="74" t="s">
        <v>53</v>
      </c>
      <c r="C41" s="75" t="s">
        <v>27</v>
      </c>
      <c r="D41" s="487">
        <v>2021</v>
      </c>
      <c r="E41" s="485">
        <f t="shared" si="7"/>
        <v>0</v>
      </c>
      <c r="F41" s="65"/>
      <c r="G41" s="485">
        <f t="shared" si="8"/>
        <v>0</v>
      </c>
      <c r="H41" s="485">
        <v>0</v>
      </c>
      <c r="I41" s="485">
        <v>0</v>
      </c>
      <c r="J41" s="485">
        <v>0</v>
      </c>
      <c r="K41" s="485">
        <v>0</v>
      </c>
      <c r="L41" s="491" t="s">
        <v>27</v>
      </c>
      <c r="M41" s="955"/>
    </row>
    <row r="42" spans="1:13" s="48" customFormat="1" ht="223.5" customHeight="1">
      <c r="A42" s="617" t="s">
        <v>54</v>
      </c>
      <c r="B42" s="455" t="s">
        <v>55</v>
      </c>
      <c r="C42" s="75" t="s">
        <v>27</v>
      </c>
      <c r="D42" s="487">
        <v>2021</v>
      </c>
      <c r="E42" s="485">
        <f t="shared" si="7"/>
        <v>0</v>
      </c>
      <c r="F42" s="76"/>
      <c r="G42" s="485">
        <f t="shared" si="8"/>
        <v>0</v>
      </c>
      <c r="H42" s="485">
        <v>0</v>
      </c>
      <c r="I42" s="485">
        <v>0</v>
      </c>
      <c r="J42" s="485">
        <v>0</v>
      </c>
      <c r="K42" s="485">
        <v>0</v>
      </c>
      <c r="L42" s="491" t="s">
        <v>27</v>
      </c>
      <c r="M42" s="955"/>
    </row>
    <row r="43" spans="1:13" s="78" customFormat="1" ht="67.5" customHeight="1">
      <c r="A43" s="855" t="s">
        <v>56</v>
      </c>
      <c r="B43" s="956" t="s">
        <v>57</v>
      </c>
      <c r="C43" s="487"/>
      <c r="D43" s="487">
        <v>2021</v>
      </c>
      <c r="E43" s="485">
        <f aca="true" t="shared" si="9" ref="E43:K43">E44</f>
        <v>0</v>
      </c>
      <c r="F43" s="485">
        <f t="shared" si="9"/>
        <v>0</v>
      </c>
      <c r="G43" s="485">
        <f t="shared" si="9"/>
        <v>0</v>
      </c>
      <c r="H43" s="485">
        <f t="shared" si="9"/>
        <v>0</v>
      </c>
      <c r="I43" s="485">
        <f t="shared" si="9"/>
        <v>0</v>
      </c>
      <c r="J43" s="485">
        <f t="shared" si="9"/>
        <v>0</v>
      </c>
      <c r="K43" s="485">
        <f t="shared" si="9"/>
        <v>0</v>
      </c>
      <c r="L43" s="487"/>
      <c r="M43" s="618"/>
    </row>
    <row r="44" spans="1:13" s="78" customFormat="1" ht="90.75" customHeight="1">
      <c r="A44" s="855"/>
      <c r="B44" s="956"/>
      <c r="C44" s="75" t="s">
        <v>58</v>
      </c>
      <c r="D44" s="75">
        <v>2021</v>
      </c>
      <c r="E44" s="486">
        <f>F44+G44+J44+K44</f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7"/>
      <c r="M44" s="618"/>
    </row>
    <row r="45" spans="1:13" s="48" customFormat="1" ht="20.25" customHeight="1">
      <c r="A45" s="619"/>
      <c r="B45" s="934" t="s">
        <v>59</v>
      </c>
      <c r="C45" s="464"/>
      <c r="D45" s="464">
        <v>2020</v>
      </c>
      <c r="E45" s="79">
        <f aca="true" t="shared" si="10" ref="E45:K45">E15</f>
        <v>1128.3</v>
      </c>
      <c r="F45" s="79">
        <f t="shared" si="10"/>
        <v>0</v>
      </c>
      <c r="G45" s="79">
        <f t="shared" si="10"/>
        <v>1117</v>
      </c>
      <c r="H45" s="79">
        <f t="shared" si="10"/>
        <v>1094.7</v>
      </c>
      <c r="I45" s="79">
        <f t="shared" si="10"/>
        <v>22.3</v>
      </c>
      <c r="J45" s="79">
        <f t="shared" si="10"/>
        <v>11.299999999999997</v>
      </c>
      <c r="K45" s="79">
        <f t="shared" si="10"/>
        <v>0</v>
      </c>
      <c r="L45" s="464"/>
      <c r="M45" s="620"/>
    </row>
    <row r="46" spans="1:13" s="48" customFormat="1" ht="20.25">
      <c r="A46" s="619"/>
      <c r="B46" s="934"/>
      <c r="C46" s="464"/>
      <c r="D46" s="464">
        <v>2021</v>
      </c>
      <c r="E46" s="79">
        <f aca="true" t="shared" si="11" ref="E46:K46">E25+E30+E33+E43+E16</f>
        <v>6841.74</v>
      </c>
      <c r="F46" s="79">
        <f t="shared" si="11"/>
        <v>0</v>
      </c>
      <c r="G46" s="79">
        <f t="shared" si="11"/>
        <v>6662.900000000001</v>
      </c>
      <c r="H46" s="79">
        <f t="shared" si="11"/>
        <v>6529.5</v>
      </c>
      <c r="I46" s="79">
        <f t="shared" si="11"/>
        <v>133.4</v>
      </c>
      <c r="J46" s="79">
        <f t="shared" si="11"/>
        <v>178.84</v>
      </c>
      <c r="K46" s="79">
        <f t="shared" si="11"/>
        <v>0</v>
      </c>
      <c r="L46" s="464"/>
      <c r="M46" s="620"/>
    </row>
    <row r="47" spans="1:13" s="48" customFormat="1" ht="20.25">
      <c r="A47" s="619"/>
      <c r="B47" s="934"/>
      <c r="C47" s="464"/>
      <c r="D47" s="464">
        <v>2022</v>
      </c>
      <c r="E47" s="79">
        <f aca="true" t="shared" si="12" ref="E47:K47">E27+E31</f>
        <v>747.13</v>
      </c>
      <c r="F47" s="79">
        <f t="shared" si="12"/>
        <v>0</v>
      </c>
      <c r="G47" s="79">
        <f t="shared" si="12"/>
        <v>650</v>
      </c>
      <c r="H47" s="79">
        <f t="shared" si="12"/>
        <v>637</v>
      </c>
      <c r="I47" s="79">
        <f t="shared" si="12"/>
        <v>13</v>
      </c>
      <c r="J47" s="79">
        <f t="shared" si="12"/>
        <v>97.13000000000001</v>
      </c>
      <c r="K47" s="79">
        <f t="shared" si="12"/>
        <v>0</v>
      </c>
      <c r="L47" s="464"/>
      <c r="M47" s="620"/>
    </row>
    <row r="48" spans="1:13" s="48" customFormat="1" ht="20.25">
      <c r="A48" s="619"/>
      <c r="B48" s="934"/>
      <c r="C48" s="464"/>
      <c r="D48" s="464">
        <v>2023</v>
      </c>
      <c r="E48" s="79">
        <f>F48+G48+J48+K48</f>
        <v>0</v>
      </c>
      <c r="F48" s="79">
        <v>0</v>
      </c>
      <c r="G48" s="79">
        <f>H48+I48</f>
        <v>0</v>
      </c>
      <c r="H48" s="79">
        <v>0</v>
      </c>
      <c r="I48" s="79">
        <v>0</v>
      </c>
      <c r="J48" s="79">
        <v>0</v>
      </c>
      <c r="K48" s="79">
        <v>0</v>
      </c>
      <c r="L48" s="464"/>
      <c r="M48" s="620"/>
    </row>
    <row r="49" spans="1:13" s="48" customFormat="1" ht="25.5" customHeight="1">
      <c r="A49" s="619"/>
      <c r="B49" s="464" t="s">
        <v>60</v>
      </c>
      <c r="C49" s="464"/>
      <c r="D49" s="464"/>
      <c r="E49" s="79">
        <f aca="true" t="shared" si="13" ref="E49:K49">E45+E46+E47+E48</f>
        <v>8717.17</v>
      </c>
      <c r="F49" s="79">
        <f t="shared" si="13"/>
        <v>0</v>
      </c>
      <c r="G49" s="79">
        <f t="shared" si="13"/>
        <v>8429.900000000001</v>
      </c>
      <c r="H49" s="79">
        <f t="shared" si="13"/>
        <v>8261.2</v>
      </c>
      <c r="I49" s="79">
        <f t="shared" si="13"/>
        <v>168.70000000000002</v>
      </c>
      <c r="J49" s="79">
        <f t="shared" si="13"/>
        <v>287.27</v>
      </c>
      <c r="K49" s="79">
        <f t="shared" si="13"/>
        <v>0</v>
      </c>
      <c r="L49" s="464"/>
      <c r="M49" s="620"/>
    </row>
    <row r="50" spans="1:13" s="25" customFormat="1" ht="27.75" customHeight="1">
      <c r="A50" s="761" t="s">
        <v>61</v>
      </c>
      <c r="B50" s="930" t="s">
        <v>62</v>
      </c>
      <c r="C50" s="930"/>
      <c r="D50" s="934">
        <v>2017</v>
      </c>
      <c r="E50" s="931">
        <f>F50+G50+J50+K50</f>
        <v>0</v>
      </c>
      <c r="F50" s="931"/>
      <c r="G50" s="952">
        <f>H50+I50</f>
        <v>0</v>
      </c>
      <c r="H50" s="932"/>
      <c r="I50" s="932">
        <v>0</v>
      </c>
      <c r="J50" s="932">
        <v>0</v>
      </c>
      <c r="K50" s="950"/>
      <c r="L50" s="951" t="s">
        <v>63</v>
      </c>
      <c r="M50" s="840" t="s">
        <v>64</v>
      </c>
    </row>
    <row r="51" spans="1:13" s="25" customFormat="1" ht="23.25" customHeight="1">
      <c r="A51" s="761"/>
      <c r="B51" s="930"/>
      <c r="C51" s="930"/>
      <c r="D51" s="934"/>
      <c r="E51" s="931"/>
      <c r="F51" s="931"/>
      <c r="G51" s="952"/>
      <c r="H51" s="932"/>
      <c r="I51" s="932"/>
      <c r="J51" s="932"/>
      <c r="K51" s="950"/>
      <c r="L51" s="951"/>
      <c r="M51" s="840"/>
    </row>
    <row r="52" spans="1:13" s="25" customFormat="1" ht="30" customHeight="1">
      <c r="A52" s="761"/>
      <c r="B52" s="930"/>
      <c r="C52" s="930"/>
      <c r="D52" s="487">
        <v>2018</v>
      </c>
      <c r="E52" s="485">
        <f>F52+G52+J52+K52</f>
        <v>0</v>
      </c>
      <c r="F52" s="485"/>
      <c r="G52" s="80">
        <f>H52+I52</f>
        <v>0</v>
      </c>
      <c r="H52" s="488"/>
      <c r="I52" s="488">
        <v>0</v>
      </c>
      <c r="J52" s="488">
        <v>0</v>
      </c>
      <c r="K52" s="81"/>
      <c r="L52" s="82" t="s">
        <v>63</v>
      </c>
      <c r="M52" s="840"/>
    </row>
    <row r="53" spans="1:13" s="25" customFormat="1" ht="27.75" customHeight="1">
      <c r="A53" s="761"/>
      <c r="B53" s="930"/>
      <c r="C53" s="930"/>
      <c r="D53" s="487">
        <v>2019</v>
      </c>
      <c r="E53" s="485">
        <f>F53+G53+J53+K53</f>
        <v>0</v>
      </c>
      <c r="F53" s="80"/>
      <c r="G53" s="80">
        <f>H53+I53</f>
        <v>0</v>
      </c>
      <c r="H53" s="80"/>
      <c r="I53" s="488">
        <v>0</v>
      </c>
      <c r="J53" s="488">
        <v>0</v>
      </c>
      <c r="K53" s="81"/>
      <c r="L53" s="82" t="s">
        <v>63</v>
      </c>
      <c r="M53" s="840"/>
    </row>
    <row r="54" spans="1:13" s="25" customFormat="1" ht="30" customHeight="1">
      <c r="A54" s="761"/>
      <c r="B54" s="930"/>
      <c r="C54" s="930"/>
      <c r="D54" s="487">
        <v>2020</v>
      </c>
      <c r="E54" s="485">
        <f>F54+G54+J54+K54</f>
        <v>78.89038</v>
      </c>
      <c r="F54" s="485"/>
      <c r="G54" s="80">
        <f>H54+I54</f>
        <v>0</v>
      </c>
      <c r="H54" s="80"/>
      <c r="I54" s="488">
        <v>0</v>
      </c>
      <c r="J54" s="488">
        <f>63.89+15.00038</f>
        <v>78.89038</v>
      </c>
      <c r="K54" s="488"/>
      <c r="L54" s="489" t="s">
        <v>63</v>
      </c>
      <c r="M54" s="840"/>
    </row>
    <row r="55" spans="1:13" s="25" customFormat="1" ht="30" customHeight="1">
      <c r="A55" s="761"/>
      <c r="B55" s="930"/>
      <c r="C55" s="930"/>
      <c r="D55" s="487">
        <v>2021</v>
      </c>
      <c r="E55" s="485">
        <f>F55+G55+J55+K55</f>
        <v>0</v>
      </c>
      <c r="F55" s="485"/>
      <c r="G55" s="80">
        <f>H55+I55</f>
        <v>0</v>
      </c>
      <c r="H55" s="80"/>
      <c r="I55" s="488">
        <v>0</v>
      </c>
      <c r="J55" s="488">
        <v>0</v>
      </c>
      <c r="K55" s="488"/>
      <c r="L55" s="489" t="s">
        <v>63</v>
      </c>
      <c r="M55" s="840"/>
    </row>
    <row r="56" spans="1:13" s="25" customFormat="1" ht="33.75" customHeight="1">
      <c r="A56" s="761"/>
      <c r="B56" s="930"/>
      <c r="C56" s="930"/>
      <c r="D56" s="487">
        <v>2023</v>
      </c>
      <c r="E56" s="485">
        <v>0</v>
      </c>
      <c r="F56" s="485">
        <v>0</v>
      </c>
      <c r="G56" s="485">
        <v>0</v>
      </c>
      <c r="H56" s="485">
        <v>0</v>
      </c>
      <c r="I56" s="486">
        <v>0</v>
      </c>
      <c r="J56" s="486">
        <v>0</v>
      </c>
      <c r="K56" s="486">
        <v>0</v>
      </c>
      <c r="L56" s="489" t="s">
        <v>63</v>
      </c>
      <c r="M56" s="621"/>
    </row>
    <row r="57" spans="1:13" s="25" customFormat="1" ht="33.75" customHeight="1">
      <c r="A57" s="622" t="s">
        <v>65</v>
      </c>
      <c r="B57" s="935" t="s">
        <v>66</v>
      </c>
      <c r="C57" s="936"/>
      <c r="D57" s="487">
        <v>2017</v>
      </c>
      <c r="E57" s="485">
        <f aca="true" t="shared" si="14" ref="E57:K58">E65</f>
        <v>155.5623</v>
      </c>
      <c r="F57" s="485">
        <f t="shared" si="14"/>
        <v>0</v>
      </c>
      <c r="G57" s="485">
        <f t="shared" si="14"/>
        <v>0</v>
      </c>
      <c r="H57" s="485">
        <f t="shared" si="14"/>
        <v>0</v>
      </c>
      <c r="I57" s="485">
        <f t="shared" si="14"/>
        <v>0</v>
      </c>
      <c r="J57" s="485">
        <f t="shared" si="14"/>
        <v>155.5623</v>
      </c>
      <c r="K57" s="485">
        <f t="shared" si="14"/>
        <v>0</v>
      </c>
      <c r="L57" s="83"/>
      <c r="M57" s="623"/>
    </row>
    <row r="58" spans="1:13" s="25" customFormat="1" ht="33" customHeight="1">
      <c r="A58" s="624"/>
      <c r="B58" s="937"/>
      <c r="C58" s="938"/>
      <c r="D58" s="487">
        <v>2018</v>
      </c>
      <c r="E58" s="485">
        <f t="shared" si="14"/>
        <v>394.40002999999996</v>
      </c>
      <c r="F58" s="485">
        <f t="shared" si="14"/>
        <v>0</v>
      </c>
      <c r="G58" s="485">
        <f t="shared" si="14"/>
        <v>0</v>
      </c>
      <c r="H58" s="485">
        <f t="shared" si="14"/>
        <v>0</v>
      </c>
      <c r="I58" s="485">
        <f t="shared" si="14"/>
        <v>0</v>
      </c>
      <c r="J58" s="485">
        <f t="shared" si="14"/>
        <v>394.40002999999996</v>
      </c>
      <c r="K58" s="485">
        <f t="shared" si="14"/>
        <v>0</v>
      </c>
      <c r="L58" s="83"/>
      <c r="M58" s="623"/>
    </row>
    <row r="59" spans="1:13" s="25" customFormat="1" ht="39" customHeight="1">
      <c r="A59" s="624"/>
      <c r="B59" s="937"/>
      <c r="C59" s="938"/>
      <c r="D59" s="487">
        <v>2019</v>
      </c>
      <c r="E59" s="485">
        <f aca="true" t="shared" si="15" ref="E59:K60">E67+E73+E75</f>
        <v>236.87999999999997</v>
      </c>
      <c r="F59" s="485">
        <f t="shared" si="15"/>
        <v>0</v>
      </c>
      <c r="G59" s="485">
        <f t="shared" si="15"/>
        <v>0</v>
      </c>
      <c r="H59" s="485">
        <f t="shared" si="15"/>
        <v>0</v>
      </c>
      <c r="I59" s="485">
        <f t="shared" si="15"/>
        <v>0</v>
      </c>
      <c r="J59" s="485">
        <f t="shared" si="15"/>
        <v>236.87999999999997</v>
      </c>
      <c r="K59" s="485">
        <f t="shared" si="15"/>
        <v>0</v>
      </c>
      <c r="L59" s="83"/>
      <c r="M59" s="623"/>
    </row>
    <row r="60" spans="1:13" s="25" customFormat="1" ht="33" customHeight="1">
      <c r="A60" s="624"/>
      <c r="B60" s="937"/>
      <c r="C60" s="938"/>
      <c r="D60" s="487">
        <v>2020</v>
      </c>
      <c r="E60" s="485">
        <f t="shared" si="15"/>
        <v>156.84791999999996</v>
      </c>
      <c r="F60" s="485">
        <f t="shared" si="15"/>
        <v>0</v>
      </c>
      <c r="G60" s="485">
        <f t="shared" si="15"/>
        <v>0</v>
      </c>
      <c r="H60" s="485">
        <f t="shared" si="15"/>
        <v>0</v>
      </c>
      <c r="I60" s="485">
        <f t="shared" si="15"/>
        <v>0</v>
      </c>
      <c r="J60" s="485">
        <f t="shared" si="15"/>
        <v>156.84791999999996</v>
      </c>
      <c r="K60" s="485">
        <f t="shared" si="15"/>
        <v>0</v>
      </c>
      <c r="L60" s="83"/>
      <c r="M60" s="623"/>
    </row>
    <row r="61" spans="1:13" s="25" customFormat="1" ht="33" customHeight="1">
      <c r="A61" s="624"/>
      <c r="B61" s="937"/>
      <c r="C61" s="938"/>
      <c r="D61" s="487">
        <v>2021</v>
      </c>
      <c r="E61" s="485">
        <f>E69+E77</f>
        <v>192.39600000000002</v>
      </c>
      <c r="F61" s="485">
        <f aca="true" t="shared" si="16" ref="F61:I62">F69</f>
        <v>0</v>
      </c>
      <c r="G61" s="485">
        <f t="shared" si="16"/>
        <v>0</v>
      </c>
      <c r="H61" s="485">
        <f t="shared" si="16"/>
        <v>0</v>
      </c>
      <c r="I61" s="485">
        <f t="shared" si="16"/>
        <v>0</v>
      </c>
      <c r="J61" s="485">
        <f>J69+J77</f>
        <v>192.39600000000002</v>
      </c>
      <c r="K61" s="485">
        <f>K69</f>
        <v>0</v>
      </c>
      <c r="L61" s="83"/>
      <c r="M61" s="623"/>
    </row>
    <row r="62" spans="1:13" s="25" customFormat="1" ht="30" customHeight="1">
      <c r="A62" s="624"/>
      <c r="B62" s="937"/>
      <c r="C62" s="938"/>
      <c r="D62" s="487">
        <v>2022</v>
      </c>
      <c r="E62" s="485">
        <f>E70+E78</f>
        <v>200</v>
      </c>
      <c r="F62" s="485">
        <f t="shared" si="16"/>
        <v>0</v>
      </c>
      <c r="G62" s="485">
        <f t="shared" si="16"/>
        <v>0</v>
      </c>
      <c r="H62" s="485">
        <f t="shared" si="16"/>
        <v>0</v>
      </c>
      <c r="I62" s="485">
        <f t="shared" si="16"/>
        <v>0</v>
      </c>
      <c r="J62" s="485">
        <f>J70+J78</f>
        <v>200</v>
      </c>
      <c r="K62" s="485">
        <f>K70</f>
        <v>0</v>
      </c>
      <c r="L62" s="83"/>
      <c r="M62" s="623"/>
    </row>
    <row r="63" spans="1:13" s="25" customFormat="1" ht="30" customHeight="1">
      <c r="A63" s="625"/>
      <c r="B63" s="937"/>
      <c r="C63" s="938"/>
      <c r="D63" s="487">
        <v>2023</v>
      </c>
      <c r="E63" s="485">
        <f aca="true" t="shared" si="17" ref="E63:K63">E71</f>
        <v>0</v>
      </c>
      <c r="F63" s="485">
        <f t="shared" si="17"/>
        <v>0</v>
      </c>
      <c r="G63" s="485">
        <f t="shared" si="17"/>
        <v>0</v>
      </c>
      <c r="H63" s="485">
        <f t="shared" si="17"/>
        <v>0</v>
      </c>
      <c r="I63" s="485">
        <f t="shared" si="17"/>
        <v>0</v>
      </c>
      <c r="J63" s="485">
        <f t="shared" si="17"/>
        <v>0</v>
      </c>
      <c r="K63" s="485">
        <f t="shared" si="17"/>
        <v>0</v>
      </c>
      <c r="L63" s="83"/>
      <c r="M63" s="623"/>
    </row>
    <row r="64" spans="1:13" s="25" customFormat="1" ht="30" customHeight="1">
      <c r="A64" s="626"/>
      <c r="B64" s="939"/>
      <c r="C64" s="940"/>
      <c r="D64" s="487">
        <v>2024</v>
      </c>
      <c r="E64" s="485">
        <f aca="true" t="shared" si="18" ref="E64:K64">E73</f>
        <v>0</v>
      </c>
      <c r="F64" s="485">
        <f t="shared" si="18"/>
        <v>0</v>
      </c>
      <c r="G64" s="485">
        <f t="shared" si="18"/>
        <v>0</v>
      </c>
      <c r="H64" s="485">
        <f t="shared" si="18"/>
        <v>0</v>
      </c>
      <c r="I64" s="485">
        <f t="shared" si="18"/>
        <v>0</v>
      </c>
      <c r="J64" s="485">
        <f t="shared" si="18"/>
        <v>0</v>
      </c>
      <c r="K64" s="485">
        <f t="shared" si="18"/>
        <v>0</v>
      </c>
      <c r="L64" s="83"/>
      <c r="M64" s="623"/>
    </row>
    <row r="65" spans="1:13" s="25" customFormat="1" ht="55.5" customHeight="1">
      <c r="A65" s="941" t="s">
        <v>67</v>
      </c>
      <c r="B65" s="944" t="s">
        <v>68</v>
      </c>
      <c r="C65" s="945"/>
      <c r="D65" s="75">
        <v>2017</v>
      </c>
      <c r="E65" s="486">
        <f aca="true" t="shared" si="19" ref="E65:E79">F65+I65+J65+K65</f>
        <v>155.5623</v>
      </c>
      <c r="F65" s="486"/>
      <c r="G65" s="486">
        <f aca="true" t="shared" si="20" ref="G65:G87">H65+I65</f>
        <v>0</v>
      </c>
      <c r="H65" s="84"/>
      <c r="I65" s="486">
        <v>0</v>
      </c>
      <c r="J65" s="486">
        <f>40+68.197-39.45+0.42+51.795+4.6003+30</f>
        <v>155.5623</v>
      </c>
      <c r="K65" s="84"/>
      <c r="L65" s="489" t="s">
        <v>69</v>
      </c>
      <c r="M65" s="840" t="s">
        <v>70</v>
      </c>
    </row>
    <row r="66" spans="1:13" s="25" customFormat="1" ht="63.75" customHeight="1">
      <c r="A66" s="942"/>
      <c r="B66" s="946"/>
      <c r="C66" s="947"/>
      <c r="D66" s="75">
        <v>2018</v>
      </c>
      <c r="E66" s="486">
        <f t="shared" si="19"/>
        <v>394.40002999999996</v>
      </c>
      <c r="F66" s="486"/>
      <c r="G66" s="486">
        <f t="shared" si="20"/>
        <v>0</v>
      </c>
      <c r="H66" s="84"/>
      <c r="I66" s="486">
        <v>0</v>
      </c>
      <c r="J66" s="486">
        <f>325-70-60+150-5.5-9.25-8.1+41.63+30.62003</f>
        <v>394.40002999999996</v>
      </c>
      <c r="K66" s="84"/>
      <c r="L66" s="489" t="s">
        <v>71</v>
      </c>
      <c r="M66" s="840"/>
    </row>
    <row r="67" spans="1:13" s="25" customFormat="1" ht="50.25" customHeight="1">
      <c r="A67" s="942"/>
      <c r="B67" s="946"/>
      <c r="C67" s="947"/>
      <c r="D67" s="75">
        <v>2019</v>
      </c>
      <c r="E67" s="486">
        <f t="shared" si="19"/>
        <v>194.37999999999997</v>
      </c>
      <c r="F67" s="486"/>
      <c r="G67" s="486">
        <f t="shared" si="20"/>
        <v>0</v>
      </c>
      <c r="H67" s="84"/>
      <c r="I67" s="486">
        <v>0</v>
      </c>
      <c r="J67" s="486">
        <f>363.78-1.1-12.25-15.357-19-61.293-19-42.5+1.1</f>
        <v>194.37999999999997</v>
      </c>
      <c r="K67" s="84"/>
      <c r="L67" s="489" t="s">
        <v>72</v>
      </c>
      <c r="M67" s="840"/>
    </row>
    <row r="68" spans="1:13" s="25" customFormat="1" ht="45" customHeight="1">
      <c r="A68" s="942"/>
      <c r="B68" s="946"/>
      <c r="C68" s="947"/>
      <c r="D68" s="75">
        <v>2020</v>
      </c>
      <c r="E68" s="486">
        <f t="shared" si="19"/>
        <v>113.44791999999995</v>
      </c>
      <c r="F68" s="486"/>
      <c r="G68" s="486">
        <f t="shared" si="20"/>
        <v>0</v>
      </c>
      <c r="H68" s="84"/>
      <c r="I68" s="486">
        <v>0</v>
      </c>
      <c r="J68" s="486">
        <f>276.53-9.9657-43.4-1.781-40-4.2-3-13.2+26.355-63.89-10.00038</f>
        <v>113.44791999999995</v>
      </c>
      <c r="K68" s="84"/>
      <c r="L68" s="484" t="s">
        <v>72</v>
      </c>
      <c r="M68" s="840"/>
    </row>
    <row r="69" spans="1:13" s="35" customFormat="1" ht="50.25" customHeight="1">
      <c r="A69" s="942"/>
      <c r="B69" s="946"/>
      <c r="C69" s="947"/>
      <c r="D69" s="55">
        <v>2021</v>
      </c>
      <c r="E69" s="482">
        <f t="shared" si="19"/>
        <v>148.596</v>
      </c>
      <c r="F69" s="482"/>
      <c r="G69" s="482">
        <f t="shared" si="20"/>
        <v>0</v>
      </c>
      <c r="H69" s="85"/>
      <c r="I69" s="482">
        <v>0</v>
      </c>
      <c r="J69" s="482">
        <f>76.53+2.523+52.5+4.143+1.2-43.8+0.5+55</f>
        <v>148.596</v>
      </c>
      <c r="K69" s="85"/>
      <c r="L69" s="483" t="s">
        <v>63</v>
      </c>
      <c r="M69" s="840"/>
    </row>
    <row r="70" spans="1:13" s="25" customFormat="1" ht="51" customHeight="1">
      <c r="A70" s="942"/>
      <c r="B70" s="946"/>
      <c r="C70" s="947"/>
      <c r="D70" s="75">
        <v>2022</v>
      </c>
      <c r="E70" s="482">
        <f t="shared" si="19"/>
        <v>150</v>
      </c>
      <c r="F70" s="486"/>
      <c r="G70" s="486">
        <f t="shared" si="20"/>
        <v>0</v>
      </c>
      <c r="H70" s="84"/>
      <c r="I70" s="486">
        <v>0</v>
      </c>
      <c r="J70" s="486">
        <v>150</v>
      </c>
      <c r="K70" s="84"/>
      <c r="L70" s="484" t="s">
        <v>72</v>
      </c>
      <c r="M70" s="840"/>
    </row>
    <row r="71" spans="1:13" s="25" customFormat="1" ht="33" customHeight="1">
      <c r="A71" s="942"/>
      <c r="B71" s="946"/>
      <c r="C71" s="947"/>
      <c r="D71" s="75">
        <v>2023</v>
      </c>
      <c r="E71" s="486">
        <f t="shared" si="19"/>
        <v>0</v>
      </c>
      <c r="F71" s="486"/>
      <c r="G71" s="486">
        <f t="shared" si="20"/>
        <v>0</v>
      </c>
      <c r="H71" s="84"/>
      <c r="I71" s="486">
        <v>0</v>
      </c>
      <c r="J71" s="486">
        <v>0</v>
      </c>
      <c r="K71" s="84"/>
      <c r="L71" s="484"/>
      <c r="M71" s="621"/>
    </row>
    <row r="72" spans="1:13" s="25" customFormat="1" ht="33" customHeight="1">
      <c r="A72" s="943"/>
      <c r="B72" s="948"/>
      <c r="C72" s="949"/>
      <c r="D72" s="75">
        <v>2024</v>
      </c>
      <c r="E72" s="486">
        <f>F72+I72+J72+K72</f>
        <v>0</v>
      </c>
      <c r="F72" s="486"/>
      <c r="G72" s="486">
        <f>H72+I72</f>
        <v>0</v>
      </c>
      <c r="H72" s="84"/>
      <c r="I72" s="486">
        <v>0</v>
      </c>
      <c r="J72" s="486">
        <v>0</v>
      </c>
      <c r="K72" s="84"/>
      <c r="L72" s="484"/>
      <c r="M72" s="621"/>
    </row>
    <row r="73" spans="1:13" s="25" customFormat="1" ht="35.25" customHeight="1">
      <c r="A73" s="761" t="s">
        <v>73</v>
      </c>
      <c r="B73" s="874" t="s">
        <v>74</v>
      </c>
      <c r="C73" s="874"/>
      <c r="D73" s="75">
        <v>2019</v>
      </c>
      <c r="E73" s="486">
        <f t="shared" si="19"/>
        <v>0</v>
      </c>
      <c r="F73" s="486"/>
      <c r="G73" s="486">
        <f t="shared" si="20"/>
        <v>0</v>
      </c>
      <c r="H73" s="84"/>
      <c r="I73" s="486">
        <v>0</v>
      </c>
      <c r="J73" s="486">
        <v>0</v>
      </c>
      <c r="K73" s="84"/>
      <c r="L73" s="484"/>
      <c r="M73" s="621"/>
    </row>
    <row r="74" spans="1:13" s="25" customFormat="1" ht="39" customHeight="1">
      <c r="A74" s="761"/>
      <c r="B74" s="874"/>
      <c r="C74" s="874"/>
      <c r="D74" s="75">
        <v>2020</v>
      </c>
      <c r="E74" s="486">
        <f t="shared" si="19"/>
        <v>0</v>
      </c>
      <c r="F74" s="486"/>
      <c r="G74" s="486">
        <f t="shared" si="20"/>
        <v>0</v>
      </c>
      <c r="H74" s="84"/>
      <c r="I74" s="486">
        <v>0</v>
      </c>
      <c r="J74" s="486">
        <v>0</v>
      </c>
      <c r="K74" s="84"/>
      <c r="L74" s="484"/>
      <c r="M74" s="621"/>
    </row>
    <row r="75" spans="1:13" s="25" customFormat="1" ht="24.75" customHeight="1">
      <c r="A75" s="761" t="s">
        <v>75</v>
      </c>
      <c r="B75" s="874" t="s">
        <v>76</v>
      </c>
      <c r="C75" s="874"/>
      <c r="D75" s="75">
        <v>2019</v>
      </c>
      <c r="E75" s="486">
        <f t="shared" si="19"/>
        <v>42.5</v>
      </c>
      <c r="F75" s="486"/>
      <c r="G75" s="486">
        <f t="shared" si="20"/>
        <v>0</v>
      </c>
      <c r="H75" s="84"/>
      <c r="I75" s="486"/>
      <c r="J75" s="486">
        <v>42.5</v>
      </c>
      <c r="K75" s="84"/>
      <c r="L75" s="484" t="s">
        <v>77</v>
      </c>
      <c r="M75" s="621"/>
    </row>
    <row r="76" spans="1:13" s="25" customFormat="1" ht="24.75" customHeight="1">
      <c r="A76" s="761"/>
      <c r="B76" s="874"/>
      <c r="C76" s="874"/>
      <c r="D76" s="75">
        <v>2020</v>
      </c>
      <c r="E76" s="486">
        <f t="shared" si="19"/>
        <v>43.4</v>
      </c>
      <c r="F76" s="486"/>
      <c r="G76" s="486">
        <f t="shared" si="20"/>
        <v>0</v>
      </c>
      <c r="H76" s="84"/>
      <c r="I76" s="486"/>
      <c r="J76" s="486">
        <v>43.4</v>
      </c>
      <c r="K76" s="84"/>
      <c r="L76" s="484" t="s">
        <v>77</v>
      </c>
      <c r="M76" s="621"/>
    </row>
    <row r="77" spans="1:13" s="25" customFormat="1" ht="24.75" customHeight="1">
      <c r="A77" s="761"/>
      <c r="B77" s="874"/>
      <c r="C77" s="874"/>
      <c r="D77" s="75">
        <v>2021</v>
      </c>
      <c r="E77" s="486">
        <f t="shared" si="19"/>
        <v>43.8</v>
      </c>
      <c r="F77" s="486"/>
      <c r="G77" s="486">
        <f t="shared" si="20"/>
        <v>0</v>
      </c>
      <c r="H77" s="84"/>
      <c r="I77" s="486"/>
      <c r="J77" s="486">
        <v>43.8</v>
      </c>
      <c r="K77" s="84"/>
      <c r="L77" s="484"/>
      <c r="M77" s="621"/>
    </row>
    <row r="78" spans="1:13" s="25" customFormat="1" ht="24.75" customHeight="1">
      <c r="A78" s="761"/>
      <c r="B78" s="874"/>
      <c r="C78" s="874"/>
      <c r="D78" s="75">
        <v>2022</v>
      </c>
      <c r="E78" s="486">
        <f t="shared" si="19"/>
        <v>50</v>
      </c>
      <c r="F78" s="486"/>
      <c r="G78" s="486">
        <f t="shared" si="20"/>
        <v>0</v>
      </c>
      <c r="H78" s="84"/>
      <c r="I78" s="486"/>
      <c r="J78" s="486">
        <v>50</v>
      </c>
      <c r="K78" s="84"/>
      <c r="L78" s="484"/>
      <c r="M78" s="621"/>
    </row>
    <row r="79" spans="1:13" s="25" customFormat="1" ht="24.75" customHeight="1">
      <c r="A79" s="761"/>
      <c r="B79" s="874"/>
      <c r="C79" s="874"/>
      <c r="D79" s="75">
        <v>2023</v>
      </c>
      <c r="E79" s="486">
        <f t="shared" si="19"/>
        <v>0</v>
      </c>
      <c r="F79" s="486"/>
      <c r="G79" s="486">
        <f t="shared" si="20"/>
        <v>0</v>
      </c>
      <c r="H79" s="84"/>
      <c r="I79" s="486"/>
      <c r="J79" s="486">
        <v>0</v>
      </c>
      <c r="K79" s="84"/>
      <c r="L79" s="484"/>
      <c r="M79" s="621"/>
    </row>
    <row r="80" spans="1:13" s="25" customFormat="1" ht="24.75" customHeight="1">
      <c r="A80" s="761" t="s">
        <v>78</v>
      </c>
      <c r="B80" s="874" t="s">
        <v>79</v>
      </c>
      <c r="C80" s="874"/>
      <c r="D80" s="487">
        <v>2017</v>
      </c>
      <c r="E80" s="86">
        <f aca="true" t="shared" si="21" ref="E80:E86">F80+G80+J80+K80</f>
        <v>11</v>
      </c>
      <c r="F80" s="86"/>
      <c r="G80" s="87">
        <f t="shared" si="20"/>
        <v>0</v>
      </c>
      <c r="H80" s="88"/>
      <c r="I80" s="89">
        <v>0</v>
      </c>
      <c r="J80" s="89">
        <f>11</f>
        <v>11</v>
      </c>
      <c r="K80" s="87"/>
      <c r="L80" s="484" t="s">
        <v>80</v>
      </c>
      <c r="M80" s="840" t="s">
        <v>81</v>
      </c>
    </row>
    <row r="81" spans="1:13" s="25" customFormat="1" ht="24.75" customHeight="1">
      <c r="A81" s="761"/>
      <c r="B81" s="874"/>
      <c r="C81" s="874"/>
      <c r="D81" s="487">
        <v>2018</v>
      </c>
      <c r="E81" s="86">
        <f t="shared" si="21"/>
        <v>0</v>
      </c>
      <c r="F81" s="86"/>
      <c r="G81" s="87">
        <f t="shared" si="20"/>
        <v>0</v>
      </c>
      <c r="H81" s="88"/>
      <c r="I81" s="89">
        <v>0</v>
      </c>
      <c r="J81" s="89">
        <v>0</v>
      </c>
      <c r="K81" s="87"/>
      <c r="L81" s="484" t="s">
        <v>82</v>
      </c>
      <c r="M81" s="840"/>
    </row>
    <row r="82" spans="1:13" s="25" customFormat="1" ht="24.75" customHeight="1">
      <c r="A82" s="761"/>
      <c r="B82" s="874"/>
      <c r="C82" s="874"/>
      <c r="D82" s="487">
        <v>2019</v>
      </c>
      <c r="E82" s="86">
        <f t="shared" si="21"/>
        <v>0</v>
      </c>
      <c r="F82" s="86"/>
      <c r="G82" s="87">
        <f t="shared" si="20"/>
        <v>0</v>
      </c>
      <c r="H82" s="88"/>
      <c r="I82" s="89">
        <v>0</v>
      </c>
      <c r="J82" s="89">
        <v>0</v>
      </c>
      <c r="K82" s="87"/>
      <c r="L82" s="484" t="s">
        <v>82</v>
      </c>
      <c r="M82" s="840"/>
    </row>
    <row r="83" spans="1:13" s="25" customFormat="1" ht="24.75" customHeight="1">
      <c r="A83" s="761"/>
      <c r="B83" s="874"/>
      <c r="C83" s="874"/>
      <c r="D83" s="487">
        <v>2020</v>
      </c>
      <c r="E83" s="86">
        <f t="shared" si="21"/>
        <v>0</v>
      </c>
      <c r="F83" s="86"/>
      <c r="G83" s="87">
        <f t="shared" si="20"/>
        <v>0</v>
      </c>
      <c r="H83" s="88"/>
      <c r="I83" s="89">
        <v>0</v>
      </c>
      <c r="J83" s="89">
        <v>0</v>
      </c>
      <c r="K83" s="87"/>
      <c r="L83" s="484" t="s">
        <v>82</v>
      </c>
      <c r="M83" s="840"/>
    </row>
    <row r="84" spans="1:13" s="25" customFormat="1" ht="24.75" customHeight="1">
      <c r="A84" s="761"/>
      <c r="B84" s="874"/>
      <c r="C84" s="874"/>
      <c r="D84" s="487">
        <v>2021</v>
      </c>
      <c r="E84" s="86">
        <f t="shared" si="21"/>
        <v>0</v>
      </c>
      <c r="F84" s="86"/>
      <c r="G84" s="87">
        <f t="shared" si="20"/>
        <v>0</v>
      </c>
      <c r="H84" s="88"/>
      <c r="I84" s="89">
        <v>0</v>
      </c>
      <c r="J84" s="89">
        <v>0</v>
      </c>
      <c r="K84" s="87"/>
      <c r="L84" s="484"/>
      <c r="M84" s="840"/>
    </row>
    <row r="85" spans="1:13" s="25" customFormat="1" ht="41.25" customHeight="1">
      <c r="A85" s="761"/>
      <c r="B85" s="874"/>
      <c r="C85" s="874"/>
      <c r="D85" s="487">
        <v>2022</v>
      </c>
      <c r="E85" s="86">
        <f t="shared" si="21"/>
        <v>10</v>
      </c>
      <c r="F85" s="86"/>
      <c r="G85" s="87">
        <f t="shared" si="20"/>
        <v>0</v>
      </c>
      <c r="H85" s="88"/>
      <c r="I85" s="89">
        <v>0</v>
      </c>
      <c r="J85" s="89">
        <v>10</v>
      </c>
      <c r="K85" s="87"/>
      <c r="L85" s="484" t="s">
        <v>82</v>
      </c>
      <c r="M85" s="840"/>
    </row>
    <row r="86" spans="1:13" s="25" customFormat="1" ht="41.25" customHeight="1">
      <c r="A86" s="761" t="s">
        <v>83</v>
      </c>
      <c r="B86" s="933" t="s">
        <v>84</v>
      </c>
      <c r="C86" s="933"/>
      <c r="D86" s="487">
        <v>2017</v>
      </c>
      <c r="E86" s="485">
        <f t="shared" si="21"/>
        <v>34.265</v>
      </c>
      <c r="F86" s="485"/>
      <c r="G86" s="486">
        <f t="shared" si="20"/>
        <v>0</v>
      </c>
      <c r="H86" s="486"/>
      <c r="I86" s="486">
        <v>0</v>
      </c>
      <c r="J86" s="486">
        <f>100-13.94-51.795</f>
        <v>34.265</v>
      </c>
      <c r="K86" s="486"/>
      <c r="L86" s="484" t="s">
        <v>63</v>
      </c>
      <c r="M86" s="840" t="s">
        <v>85</v>
      </c>
    </row>
    <row r="87" spans="1:13" s="25" customFormat="1" ht="21.75" customHeight="1">
      <c r="A87" s="761"/>
      <c r="B87" s="933"/>
      <c r="C87" s="933"/>
      <c r="D87" s="934">
        <v>2018</v>
      </c>
      <c r="E87" s="931">
        <f>F87+G87+J87+K88</f>
        <v>22.85</v>
      </c>
      <c r="F87" s="931"/>
      <c r="G87" s="932">
        <f t="shared" si="20"/>
        <v>0</v>
      </c>
      <c r="H87" s="932"/>
      <c r="I87" s="932">
        <v>0</v>
      </c>
      <c r="J87" s="932">
        <f>5.5+9.25+8.1</f>
        <v>22.85</v>
      </c>
      <c r="K87" s="932"/>
      <c r="L87" s="930" t="s">
        <v>63</v>
      </c>
      <c r="M87" s="840"/>
    </row>
    <row r="88" spans="1:13" s="25" customFormat="1" ht="18.75" customHeight="1">
      <c r="A88" s="761"/>
      <c r="B88" s="933"/>
      <c r="C88" s="933"/>
      <c r="D88" s="934"/>
      <c r="E88" s="931"/>
      <c r="F88" s="931"/>
      <c r="G88" s="932"/>
      <c r="H88" s="932"/>
      <c r="I88" s="932"/>
      <c r="J88" s="932"/>
      <c r="K88" s="932"/>
      <c r="L88" s="930"/>
      <c r="M88" s="840"/>
    </row>
    <row r="89" spans="1:13" s="25" customFormat="1" ht="54" customHeight="1">
      <c r="A89" s="761"/>
      <c r="B89" s="933"/>
      <c r="C89" s="933"/>
      <c r="D89" s="487">
        <v>2019</v>
      </c>
      <c r="E89" s="485">
        <f aca="true" t="shared" si="22" ref="E89:E101">F89+G89+J89+K89</f>
        <v>35.1</v>
      </c>
      <c r="F89" s="486"/>
      <c r="G89" s="486">
        <f aca="true" t="shared" si="23" ref="G89:G101">H89+I89</f>
        <v>0</v>
      </c>
      <c r="H89" s="486"/>
      <c r="I89" s="486">
        <v>0</v>
      </c>
      <c r="J89" s="486">
        <f>22.85+12.25</f>
        <v>35.1</v>
      </c>
      <c r="K89" s="84"/>
      <c r="L89" s="484" t="s">
        <v>63</v>
      </c>
      <c r="M89" s="840"/>
    </row>
    <row r="90" spans="1:13" s="35" customFormat="1" ht="36.75" customHeight="1">
      <c r="A90" s="761"/>
      <c r="B90" s="933"/>
      <c r="C90" s="933"/>
      <c r="D90" s="471">
        <v>2020</v>
      </c>
      <c r="E90" s="481">
        <f t="shared" si="22"/>
        <v>65.4657</v>
      </c>
      <c r="F90" s="482"/>
      <c r="G90" s="482">
        <f t="shared" si="23"/>
        <v>0</v>
      </c>
      <c r="H90" s="482"/>
      <c r="I90" s="482">
        <v>0</v>
      </c>
      <c r="J90" s="482">
        <f>35.1+9.9657+4.2+3+13.2</f>
        <v>65.4657</v>
      </c>
      <c r="K90" s="85"/>
      <c r="L90" s="483" t="s">
        <v>63</v>
      </c>
      <c r="M90" s="627"/>
    </row>
    <row r="91" spans="1:13" s="35" customFormat="1" ht="34.5" customHeight="1">
      <c r="A91" s="761"/>
      <c r="B91" s="933"/>
      <c r="C91" s="933"/>
      <c r="D91" s="471">
        <v>2021</v>
      </c>
      <c r="E91" s="481">
        <f t="shared" si="22"/>
        <v>19.58395</v>
      </c>
      <c r="F91" s="482"/>
      <c r="G91" s="482">
        <f t="shared" si="23"/>
        <v>0</v>
      </c>
      <c r="H91" s="482"/>
      <c r="I91" s="482">
        <v>0</v>
      </c>
      <c r="J91" s="482">
        <f>35.1-0.5-20.01605+5</f>
        <v>19.58395</v>
      </c>
      <c r="K91" s="85"/>
      <c r="L91" s="483" t="s">
        <v>63</v>
      </c>
      <c r="M91" s="627"/>
    </row>
    <row r="92" spans="1:13" s="35" customFormat="1" ht="33.75" customHeight="1">
      <c r="A92" s="761"/>
      <c r="B92" s="933"/>
      <c r="C92" s="933"/>
      <c r="D92" s="471">
        <v>2022</v>
      </c>
      <c r="E92" s="481">
        <f t="shared" si="22"/>
        <v>50</v>
      </c>
      <c r="F92" s="482"/>
      <c r="G92" s="482">
        <f t="shared" si="23"/>
        <v>0</v>
      </c>
      <c r="H92" s="482"/>
      <c r="I92" s="482">
        <v>0</v>
      </c>
      <c r="J92" s="482">
        <v>50</v>
      </c>
      <c r="K92" s="85"/>
      <c r="L92" s="483" t="s">
        <v>63</v>
      </c>
      <c r="M92" s="627"/>
    </row>
    <row r="93" spans="1:13" s="35" customFormat="1" ht="43.5" customHeight="1">
      <c r="A93" s="761"/>
      <c r="B93" s="933"/>
      <c r="C93" s="933"/>
      <c r="D93" s="471">
        <v>2023</v>
      </c>
      <c r="E93" s="481">
        <f t="shared" si="22"/>
        <v>0</v>
      </c>
      <c r="F93" s="482"/>
      <c r="G93" s="482">
        <f t="shared" si="23"/>
        <v>0</v>
      </c>
      <c r="H93" s="482"/>
      <c r="I93" s="482">
        <v>0</v>
      </c>
      <c r="J93" s="482">
        <v>0</v>
      </c>
      <c r="K93" s="85"/>
      <c r="L93" s="483"/>
      <c r="M93" s="627"/>
    </row>
    <row r="94" spans="1:13" s="35" customFormat="1" ht="27.75" customHeight="1">
      <c r="A94" s="760" t="s">
        <v>86</v>
      </c>
      <c r="B94" s="860" t="s">
        <v>87</v>
      </c>
      <c r="C94" s="860"/>
      <c r="D94" s="471">
        <v>2017</v>
      </c>
      <c r="E94" s="481">
        <f t="shared" si="22"/>
        <v>65.3997</v>
      </c>
      <c r="F94" s="482"/>
      <c r="G94" s="482">
        <f t="shared" si="23"/>
        <v>0</v>
      </c>
      <c r="H94" s="85"/>
      <c r="I94" s="482">
        <v>0</v>
      </c>
      <c r="J94" s="482">
        <f>70-4.6003</f>
        <v>65.3997</v>
      </c>
      <c r="K94" s="90"/>
      <c r="L94" s="483" t="s">
        <v>80</v>
      </c>
      <c r="M94" s="929" t="s">
        <v>88</v>
      </c>
    </row>
    <row r="95" spans="1:13" s="35" customFormat="1" ht="30.75" customHeight="1">
      <c r="A95" s="760"/>
      <c r="B95" s="860"/>
      <c r="C95" s="860"/>
      <c r="D95" s="471">
        <v>2018</v>
      </c>
      <c r="E95" s="481">
        <f t="shared" si="22"/>
        <v>60</v>
      </c>
      <c r="F95" s="482"/>
      <c r="G95" s="481">
        <f t="shared" si="23"/>
        <v>0</v>
      </c>
      <c r="H95" s="90"/>
      <c r="I95" s="482">
        <v>0</v>
      </c>
      <c r="J95" s="482">
        <v>60</v>
      </c>
      <c r="K95" s="90"/>
      <c r="L95" s="483" t="s">
        <v>80</v>
      </c>
      <c r="M95" s="929"/>
    </row>
    <row r="96" spans="1:13" s="35" customFormat="1" ht="24.75" customHeight="1">
      <c r="A96" s="760"/>
      <c r="B96" s="860"/>
      <c r="C96" s="860"/>
      <c r="D96" s="471">
        <v>2019</v>
      </c>
      <c r="E96" s="481">
        <f t="shared" si="22"/>
        <v>79</v>
      </c>
      <c r="F96" s="482"/>
      <c r="G96" s="481">
        <f t="shared" si="23"/>
        <v>0</v>
      </c>
      <c r="H96" s="90"/>
      <c r="I96" s="482">
        <v>0</v>
      </c>
      <c r="J96" s="482">
        <f>60+19</f>
        <v>79</v>
      </c>
      <c r="K96" s="90"/>
      <c r="L96" s="483" t="s">
        <v>80</v>
      </c>
      <c r="M96" s="929"/>
    </row>
    <row r="97" spans="1:13" s="35" customFormat="1" ht="37.5" customHeight="1">
      <c r="A97" s="760"/>
      <c r="B97" s="860"/>
      <c r="C97" s="860"/>
      <c r="D97" s="471">
        <v>2020</v>
      </c>
      <c r="E97" s="481">
        <f t="shared" si="22"/>
        <v>101.781</v>
      </c>
      <c r="F97" s="482"/>
      <c r="G97" s="481">
        <f t="shared" si="23"/>
        <v>0</v>
      </c>
      <c r="H97" s="90"/>
      <c r="I97" s="482">
        <v>0</v>
      </c>
      <c r="J97" s="482">
        <f>60+1.781+40</f>
        <v>101.781</v>
      </c>
      <c r="K97" s="90"/>
      <c r="L97" s="483" t="s">
        <v>80</v>
      </c>
      <c r="M97" s="929"/>
    </row>
    <row r="98" spans="1:13" s="35" customFormat="1" ht="24.75" customHeight="1">
      <c r="A98" s="760"/>
      <c r="B98" s="860"/>
      <c r="C98" s="860"/>
      <c r="D98" s="471">
        <v>2021</v>
      </c>
      <c r="E98" s="481">
        <f t="shared" si="22"/>
        <v>82.95</v>
      </c>
      <c r="F98" s="482"/>
      <c r="G98" s="481">
        <f t="shared" si="23"/>
        <v>0</v>
      </c>
      <c r="H98" s="90"/>
      <c r="I98" s="482">
        <v>0</v>
      </c>
      <c r="J98" s="482">
        <f>60-2.523-52.5-4.143+3.166+38.95+40</f>
        <v>82.95</v>
      </c>
      <c r="K98" s="90"/>
      <c r="L98" s="483"/>
      <c r="M98" s="929"/>
    </row>
    <row r="99" spans="1:13" s="35" customFormat="1" ht="33.75" customHeight="1">
      <c r="A99" s="760"/>
      <c r="B99" s="860"/>
      <c r="C99" s="860"/>
      <c r="D99" s="471">
        <v>2022</v>
      </c>
      <c r="E99" s="481">
        <f t="shared" si="22"/>
        <v>100</v>
      </c>
      <c r="F99" s="482"/>
      <c r="G99" s="481">
        <f t="shared" si="23"/>
        <v>0</v>
      </c>
      <c r="H99" s="90"/>
      <c r="I99" s="482">
        <v>0</v>
      </c>
      <c r="J99" s="482">
        <v>100</v>
      </c>
      <c r="K99" s="90"/>
      <c r="L99" s="483" t="s">
        <v>80</v>
      </c>
      <c r="M99" s="929"/>
    </row>
    <row r="100" spans="1:13" s="35" customFormat="1" ht="24.75" customHeight="1">
      <c r="A100" s="760"/>
      <c r="B100" s="860"/>
      <c r="C100" s="860"/>
      <c r="D100" s="471">
        <v>2023</v>
      </c>
      <c r="E100" s="481">
        <f t="shared" si="22"/>
        <v>0</v>
      </c>
      <c r="F100" s="482"/>
      <c r="G100" s="481">
        <f t="shared" si="23"/>
        <v>0</v>
      </c>
      <c r="H100" s="90"/>
      <c r="I100" s="482">
        <v>0</v>
      </c>
      <c r="J100" s="482">
        <v>0</v>
      </c>
      <c r="K100" s="91"/>
      <c r="L100" s="483"/>
      <c r="M100" s="627"/>
    </row>
    <row r="101" spans="1:13" s="35" customFormat="1" ht="24.75" customHeight="1">
      <c r="A101" s="760" t="s">
        <v>89</v>
      </c>
      <c r="B101" s="860" t="s">
        <v>90</v>
      </c>
      <c r="C101" s="860"/>
      <c r="D101" s="867">
        <v>2017</v>
      </c>
      <c r="E101" s="926">
        <f t="shared" si="22"/>
        <v>27.52</v>
      </c>
      <c r="F101" s="927"/>
      <c r="G101" s="927">
        <f t="shared" si="23"/>
        <v>0</v>
      </c>
      <c r="H101" s="926"/>
      <c r="I101" s="927">
        <v>0</v>
      </c>
      <c r="J101" s="927">
        <v>27.52</v>
      </c>
      <c r="K101" s="926"/>
      <c r="L101" s="928" t="s">
        <v>82</v>
      </c>
      <c r="M101" s="929" t="s">
        <v>91</v>
      </c>
    </row>
    <row r="102" spans="1:13" s="35" customFormat="1" ht="16.5" customHeight="1">
      <c r="A102" s="760"/>
      <c r="B102" s="860"/>
      <c r="C102" s="860"/>
      <c r="D102" s="867"/>
      <c r="E102" s="926"/>
      <c r="F102" s="927"/>
      <c r="G102" s="927"/>
      <c r="H102" s="926"/>
      <c r="I102" s="927"/>
      <c r="J102" s="927"/>
      <c r="K102" s="926"/>
      <c r="L102" s="928"/>
      <c r="M102" s="929"/>
    </row>
    <row r="103" spans="1:13" s="35" customFormat="1" ht="28.5" customHeight="1">
      <c r="A103" s="760"/>
      <c r="B103" s="860"/>
      <c r="C103" s="860"/>
      <c r="D103" s="471">
        <v>2018</v>
      </c>
      <c r="E103" s="481">
        <f aca="true" t="shared" si="24" ref="E103:E114">F103+G103+J103+K103</f>
        <v>28.369999999999997</v>
      </c>
      <c r="F103" s="482"/>
      <c r="G103" s="482">
        <f aca="true" t="shared" si="25" ref="G103:G128">H103+I103</f>
        <v>0</v>
      </c>
      <c r="H103" s="90"/>
      <c r="I103" s="482">
        <v>0</v>
      </c>
      <c r="J103" s="482">
        <f>70-41.63</f>
        <v>28.369999999999997</v>
      </c>
      <c r="K103" s="90"/>
      <c r="L103" s="483" t="s">
        <v>82</v>
      </c>
      <c r="M103" s="929"/>
    </row>
    <row r="104" spans="1:13" s="35" customFormat="1" ht="30.75" customHeight="1">
      <c r="A104" s="760"/>
      <c r="B104" s="860"/>
      <c r="C104" s="860"/>
      <c r="D104" s="471">
        <v>2019</v>
      </c>
      <c r="E104" s="481">
        <f t="shared" si="24"/>
        <v>28.37</v>
      </c>
      <c r="F104" s="482"/>
      <c r="G104" s="482">
        <f t="shared" si="25"/>
        <v>0</v>
      </c>
      <c r="H104" s="90"/>
      <c r="I104" s="482">
        <v>0</v>
      </c>
      <c r="J104" s="482">
        <v>28.37</v>
      </c>
      <c r="K104" s="90"/>
      <c r="L104" s="483" t="s">
        <v>82</v>
      </c>
      <c r="M104" s="929"/>
    </row>
    <row r="105" spans="1:13" s="35" customFormat="1" ht="29.25" customHeight="1">
      <c r="A105" s="760"/>
      <c r="B105" s="860"/>
      <c r="C105" s="860"/>
      <c r="D105" s="471">
        <v>2020</v>
      </c>
      <c r="E105" s="481">
        <f t="shared" si="24"/>
        <v>2.0150000000000006</v>
      </c>
      <c r="F105" s="482"/>
      <c r="G105" s="482">
        <f t="shared" si="25"/>
        <v>0</v>
      </c>
      <c r="H105" s="90"/>
      <c r="I105" s="482">
        <v>0</v>
      </c>
      <c r="J105" s="482">
        <f>28.37-26.355</f>
        <v>2.0150000000000006</v>
      </c>
      <c r="K105" s="90"/>
      <c r="L105" s="483" t="s">
        <v>82</v>
      </c>
      <c r="M105" s="929"/>
    </row>
    <row r="106" spans="1:13" s="35" customFormat="1" ht="31.5" customHeight="1">
      <c r="A106" s="760"/>
      <c r="B106" s="860"/>
      <c r="C106" s="860"/>
      <c r="D106" s="471">
        <v>2021</v>
      </c>
      <c r="E106" s="481">
        <f t="shared" si="24"/>
        <v>5.070050000000002</v>
      </c>
      <c r="F106" s="482"/>
      <c r="G106" s="482">
        <f t="shared" si="25"/>
        <v>0</v>
      </c>
      <c r="H106" s="90"/>
      <c r="I106" s="482">
        <v>0</v>
      </c>
      <c r="J106" s="482">
        <f>28.37-3.166-1.2-18.93395</f>
        <v>5.070050000000002</v>
      </c>
      <c r="K106" s="90"/>
      <c r="L106" s="483" t="s">
        <v>82</v>
      </c>
      <c r="M106" s="929"/>
    </row>
    <row r="107" spans="1:13" s="35" customFormat="1" ht="32.25" customHeight="1">
      <c r="A107" s="760"/>
      <c r="B107" s="860"/>
      <c r="C107" s="860"/>
      <c r="D107" s="471">
        <v>2022</v>
      </c>
      <c r="E107" s="481">
        <f t="shared" si="24"/>
        <v>7</v>
      </c>
      <c r="F107" s="482"/>
      <c r="G107" s="482">
        <f t="shared" si="25"/>
        <v>0</v>
      </c>
      <c r="H107" s="90"/>
      <c r="I107" s="482">
        <v>0</v>
      </c>
      <c r="J107" s="482">
        <v>7</v>
      </c>
      <c r="K107" s="90"/>
      <c r="L107" s="483" t="s">
        <v>82</v>
      </c>
      <c r="M107" s="929"/>
    </row>
    <row r="108" spans="1:13" s="35" customFormat="1" ht="24.75" customHeight="1">
      <c r="A108" s="760"/>
      <c r="B108" s="860"/>
      <c r="C108" s="860"/>
      <c r="D108" s="471">
        <v>2023</v>
      </c>
      <c r="E108" s="481">
        <f t="shared" si="24"/>
        <v>0</v>
      </c>
      <c r="F108" s="482"/>
      <c r="G108" s="482">
        <f t="shared" si="25"/>
        <v>0</v>
      </c>
      <c r="H108" s="90"/>
      <c r="I108" s="482">
        <v>0</v>
      </c>
      <c r="J108" s="482">
        <v>0</v>
      </c>
      <c r="K108" s="90"/>
      <c r="L108" s="483"/>
      <c r="M108" s="628"/>
    </row>
    <row r="109" spans="1:13" s="35" customFormat="1" ht="24.75" customHeight="1">
      <c r="A109" s="919" t="s">
        <v>92</v>
      </c>
      <c r="B109" s="920" t="s">
        <v>93</v>
      </c>
      <c r="C109" s="920"/>
      <c r="D109" s="471">
        <v>2017</v>
      </c>
      <c r="E109" s="481">
        <f t="shared" si="24"/>
        <v>50</v>
      </c>
      <c r="F109" s="482"/>
      <c r="G109" s="482">
        <f t="shared" si="25"/>
        <v>50</v>
      </c>
      <c r="H109" s="92"/>
      <c r="I109" s="27">
        <v>50</v>
      </c>
      <c r="J109" s="482">
        <v>0</v>
      </c>
      <c r="K109" s="93"/>
      <c r="L109" s="483" t="s">
        <v>94</v>
      </c>
      <c r="M109" s="921" t="s">
        <v>95</v>
      </c>
    </row>
    <row r="110" spans="1:13" s="35" customFormat="1" ht="24.75" customHeight="1">
      <c r="A110" s="919"/>
      <c r="B110" s="920"/>
      <c r="C110" s="920"/>
      <c r="D110" s="471">
        <v>2018</v>
      </c>
      <c r="E110" s="481">
        <f t="shared" si="24"/>
        <v>0</v>
      </c>
      <c r="F110" s="482"/>
      <c r="G110" s="482">
        <f t="shared" si="25"/>
        <v>0</v>
      </c>
      <c r="H110" s="482"/>
      <c r="I110" s="482">
        <v>0</v>
      </c>
      <c r="J110" s="482">
        <v>0</v>
      </c>
      <c r="K110" s="93"/>
      <c r="L110" s="483"/>
      <c r="M110" s="921"/>
    </row>
    <row r="111" spans="1:13" s="35" customFormat="1" ht="24.75" customHeight="1">
      <c r="A111" s="919"/>
      <c r="B111" s="920"/>
      <c r="C111" s="920"/>
      <c r="D111" s="471">
        <v>2019</v>
      </c>
      <c r="E111" s="481">
        <f t="shared" si="24"/>
        <v>50</v>
      </c>
      <c r="F111" s="482"/>
      <c r="G111" s="482">
        <f t="shared" si="25"/>
        <v>50</v>
      </c>
      <c r="H111" s="482"/>
      <c r="I111" s="482">
        <v>50</v>
      </c>
      <c r="J111" s="482">
        <v>0</v>
      </c>
      <c r="K111" s="93"/>
      <c r="L111" s="483" t="s">
        <v>96</v>
      </c>
      <c r="M111" s="921"/>
    </row>
    <row r="112" spans="1:13" s="25" customFormat="1" ht="24.75" customHeight="1">
      <c r="A112" s="919"/>
      <c r="B112" s="920"/>
      <c r="C112" s="920"/>
      <c r="D112" s="487">
        <v>2020</v>
      </c>
      <c r="E112" s="485">
        <f t="shared" si="24"/>
        <v>0</v>
      </c>
      <c r="F112" s="486"/>
      <c r="G112" s="486">
        <f t="shared" si="25"/>
        <v>0</v>
      </c>
      <c r="H112" s="486"/>
      <c r="I112" s="486">
        <v>0</v>
      </c>
      <c r="J112" s="486">
        <v>0</v>
      </c>
      <c r="K112" s="94"/>
      <c r="L112" s="484"/>
      <c r="M112" s="921"/>
    </row>
    <row r="113" spans="1:13" s="25" customFormat="1" ht="24.75" customHeight="1" thickBot="1">
      <c r="A113" s="919"/>
      <c r="B113" s="920"/>
      <c r="C113" s="920"/>
      <c r="D113" s="487">
        <v>2021</v>
      </c>
      <c r="E113" s="485">
        <f t="shared" si="24"/>
        <v>0</v>
      </c>
      <c r="F113" s="486"/>
      <c r="G113" s="486">
        <f t="shared" si="25"/>
        <v>0</v>
      </c>
      <c r="H113" s="486"/>
      <c r="I113" s="486">
        <v>0</v>
      </c>
      <c r="J113" s="486">
        <v>0</v>
      </c>
      <c r="K113" s="94"/>
      <c r="L113" s="484"/>
      <c r="M113" s="921"/>
    </row>
    <row r="114" spans="1:13" s="25" customFormat="1" ht="24.75" customHeight="1" thickBot="1">
      <c r="A114" s="855" t="s">
        <v>97</v>
      </c>
      <c r="B114" s="922" t="s">
        <v>98</v>
      </c>
      <c r="C114" s="922"/>
      <c r="D114" s="923">
        <v>2017</v>
      </c>
      <c r="E114" s="924">
        <f t="shared" si="24"/>
        <v>627.047</v>
      </c>
      <c r="F114" s="95"/>
      <c r="G114" s="96">
        <f t="shared" si="25"/>
        <v>0</v>
      </c>
      <c r="H114" s="97">
        <f>H115+H116+H117+H118+H119+H120</f>
        <v>0</v>
      </c>
      <c r="I114" s="96">
        <f>I115+I116+I117+I118+I119+I120</f>
        <v>0</v>
      </c>
      <c r="J114" s="96">
        <f>J115+J116+J117+J118+J119+J120</f>
        <v>627.047</v>
      </c>
      <c r="K114" s="96">
        <f>K115+K116+K117+K118+K119+K120</f>
        <v>0</v>
      </c>
      <c r="L114" s="98"/>
      <c r="M114" s="925" t="s">
        <v>99</v>
      </c>
    </row>
    <row r="115" spans="1:13" s="25" customFormat="1" ht="27" customHeight="1" thickBot="1">
      <c r="A115" s="855"/>
      <c r="B115" s="922"/>
      <c r="C115" s="922"/>
      <c r="D115" s="923"/>
      <c r="E115" s="924"/>
      <c r="F115" s="99"/>
      <c r="G115" s="99">
        <f t="shared" si="25"/>
        <v>0</v>
      </c>
      <c r="H115" s="99"/>
      <c r="I115" s="100"/>
      <c r="J115" s="100">
        <f>50+13.94</f>
        <v>63.94</v>
      </c>
      <c r="K115" s="101"/>
      <c r="L115" s="102" t="s">
        <v>100</v>
      </c>
      <c r="M115" s="925"/>
    </row>
    <row r="116" spans="1:13" s="25" customFormat="1" ht="24.75" customHeight="1" thickBot="1">
      <c r="A116" s="855"/>
      <c r="B116" s="922"/>
      <c r="C116" s="922"/>
      <c r="D116" s="923"/>
      <c r="E116" s="924"/>
      <c r="F116" s="485"/>
      <c r="G116" s="485">
        <f t="shared" si="25"/>
        <v>0</v>
      </c>
      <c r="H116" s="103"/>
      <c r="I116" s="486"/>
      <c r="J116" s="486">
        <v>113.23</v>
      </c>
      <c r="K116" s="103"/>
      <c r="L116" s="104" t="s">
        <v>101</v>
      </c>
      <c r="M116" s="925"/>
    </row>
    <row r="117" spans="1:13" s="25" customFormat="1" ht="24.75" customHeight="1" thickBot="1">
      <c r="A117" s="855"/>
      <c r="B117" s="922"/>
      <c r="C117" s="922"/>
      <c r="D117" s="923"/>
      <c r="E117" s="924"/>
      <c r="F117" s="485"/>
      <c r="G117" s="485">
        <f t="shared" si="25"/>
        <v>0</v>
      </c>
      <c r="H117" s="103"/>
      <c r="I117" s="486"/>
      <c r="J117" s="486">
        <v>205.427</v>
      </c>
      <c r="K117" s="103"/>
      <c r="L117" s="104" t="s">
        <v>102</v>
      </c>
      <c r="M117" s="925"/>
    </row>
    <row r="118" spans="1:13" s="25" customFormat="1" ht="24.75" customHeight="1" thickBot="1">
      <c r="A118" s="855"/>
      <c r="B118" s="922"/>
      <c r="C118" s="922"/>
      <c r="D118" s="923"/>
      <c r="E118" s="924"/>
      <c r="F118" s="485"/>
      <c r="G118" s="485">
        <f t="shared" si="25"/>
        <v>0</v>
      </c>
      <c r="H118" s="103"/>
      <c r="I118" s="486"/>
      <c r="J118" s="486">
        <v>13.23</v>
      </c>
      <c r="K118" s="103"/>
      <c r="L118" s="104" t="s">
        <v>103</v>
      </c>
      <c r="M118" s="925"/>
    </row>
    <row r="119" spans="1:13" s="25" customFormat="1" ht="24.75" customHeight="1" thickBot="1">
      <c r="A119" s="855"/>
      <c r="B119" s="922"/>
      <c r="C119" s="922"/>
      <c r="D119" s="923"/>
      <c r="E119" s="924"/>
      <c r="F119" s="485"/>
      <c r="G119" s="485">
        <f t="shared" si="25"/>
        <v>0</v>
      </c>
      <c r="H119" s="103"/>
      <c r="I119" s="486"/>
      <c r="J119" s="486">
        <v>161.09</v>
      </c>
      <c r="K119" s="103"/>
      <c r="L119" s="104" t="s">
        <v>104</v>
      </c>
      <c r="M119" s="925"/>
    </row>
    <row r="120" spans="1:13" s="25" customFormat="1" ht="24.75" customHeight="1" thickBot="1">
      <c r="A120" s="855"/>
      <c r="B120" s="922"/>
      <c r="C120" s="922"/>
      <c r="D120" s="923"/>
      <c r="E120" s="924"/>
      <c r="F120" s="105"/>
      <c r="G120" s="105">
        <f t="shared" si="25"/>
        <v>0</v>
      </c>
      <c r="H120" s="106"/>
      <c r="I120" s="107"/>
      <c r="J120" s="107">
        <f>15.18+18+36.45+0.5</f>
        <v>70.13</v>
      </c>
      <c r="K120" s="106"/>
      <c r="L120" s="108" t="s">
        <v>105</v>
      </c>
      <c r="M120" s="925"/>
    </row>
    <row r="121" spans="1:13" s="25" customFormat="1" ht="24.75" customHeight="1" thickBot="1">
      <c r="A121" s="855"/>
      <c r="B121" s="922"/>
      <c r="C121" s="922"/>
      <c r="D121" s="906">
        <v>2018</v>
      </c>
      <c r="E121" s="905">
        <f>F121+G121+J121+K121</f>
        <v>2781.9159799999998</v>
      </c>
      <c r="F121" s="109"/>
      <c r="G121" s="110">
        <f t="shared" si="25"/>
        <v>0</v>
      </c>
      <c r="H121" s="110">
        <f>H122+H123+H124+H125+H126+H127+H128</f>
        <v>0</v>
      </c>
      <c r="I121" s="110">
        <f>I122+I123+I124+I125+I126+I127+I128</f>
        <v>0</v>
      </c>
      <c r="J121" s="110">
        <f>J122+J123+J124+J125+J126+J127+J128</f>
        <v>2781.9159799999998</v>
      </c>
      <c r="K121" s="110">
        <f>K122+K123+K124+K125+K126+K127+K128</f>
        <v>0</v>
      </c>
      <c r="L121" s="111"/>
      <c r="M121" s="925"/>
    </row>
    <row r="122" spans="1:13" s="25" customFormat="1" ht="26.25" customHeight="1" thickBot="1">
      <c r="A122" s="855"/>
      <c r="B122" s="922"/>
      <c r="C122" s="922"/>
      <c r="D122" s="906"/>
      <c r="E122" s="905"/>
      <c r="F122" s="112"/>
      <c r="G122" s="113">
        <f t="shared" si="25"/>
        <v>0</v>
      </c>
      <c r="H122" s="112"/>
      <c r="I122" s="113"/>
      <c r="J122" s="113">
        <v>0</v>
      </c>
      <c r="K122" s="114"/>
      <c r="L122" s="102" t="s">
        <v>100</v>
      </c>
      <c r="M122" s="925"/>
    </row>
    <row r="123" spans="1:13" s="25" customFormat="1" ht="24.75" customHeight="1" thickBot="1">
      <c r="A123" s="855"/>
      <c r="B123" s="922"/>
      <c r="C123" s="922"/>
      <c r="D123" s="906"/>
      <c r="E123" s="905"/>
      <c r="F123" s="80"/>
      <c r="G123" s="488">
        <f t="shared" si="25"/>
        <v>0</v>
      </c>
      <c r="H123" s="80"/>
      <c r="I123" s="488"/>
      <c r="J123" s="488">
        <f>12.64+1186-181.18-36.69771</f>
        <v>980.76229</v>
      </c>
      <c r="K123" s="115"/>
      <c r="L123" s="104" t="s">
        <v>101</v>
      </c>
      <c r="M123" s="925"/>
    </row>
    <row r="124" spans="1:13" s="25" customFormat="1" ht="24.75" customHeight="1" thickBot="1">
      <c r="A124" s="855"/>
      <c r="B124" s="922"/>
      <c r="C124" s="922"/>
      <c r="D124" s="906"/>
      <c r="E124" s="905"/>
      <c r="F124" s="80"/>
      <c r="G124" s="488">
        <f t="shared" si="25"/>
        <v>0</v>
      </c>
      <c r="H124" s="80"/>
      <c r="I124" s="488"/>
      <c r="J124" s="488">
        <f>12.64+445+788.79-277.21131</f>
        <v>969.2186899999998</v>
      </c>
      <c r="K124" s="115"/>
      <c r="L124" s="104" t="s">
        <v>102</v>
      </c>
      <c r="M124" s="925"/>
    </row>
    <row r="125" spans="1:13" s="25" customFormat="1" ht="24.75" customHeight="1" thickBot="1">
      <c r="A125" s="855"/>
      <c r="B125" s="922"/>
      <c r="C125" s="922"/>
      <c r="D125" s="906"/>
      <c r="E125" s="905"/>
      <c r="F125" s="80"/>
      <c r="G125" s="488">
        <f t="shared" si="25"/>
        <v>0</v>
      </c>
      <c r="H125" s="80"/>
      <c r="I125" s="488"/>
      <c r="J125" s="488">
        <f>12.64+437.6-55.429</f>
        <v>394.81100000000004</v>
      </c>
      <c r="K125" s="115"/>
      <c r="L125" s="104" t="s">
        <v>103</v>
      </c>
      <c r="M125" s="925"/>
    </row>
    <row r="126" spans="1:13" s="25" customFormat="1" ht="24.75" customHeight="1" thickBot="1">
      <c r="A126" s="855"/>
      <c r="B126" s="922"/>
      <c r="C126" s="922"/>
      <c r="D126" s="906"/>
      <c r="E126" s="905"/>
      <c r="F126" s="80"/>
      <c r="G126" s="488">
        <f t="shared" si="25"/>
        <v>0</v>
      </c>
      <c r="H126" s="80"/>
      <c r="I126" s="488"/>
      <c r="J126" s="488">
        <f>30.36+107+120+26.184</f>
        <v>283.54400000000004</v>
      </c>
      <c r="K126" s="115"/>
      <c r="L126" s="104" t="s">
        <v>104</v>
      </c>
      <c r="M126" s="925"/>
    </row>
    <row r="127" spans="1:13" s="25" customFormat="1" ht="24.75" customHeight="1" thickBot="1">
      <c r="A127" s="855"/>
      <c r="B127" s="922"/>
      <c r="C127" s="922"/>
      <c r="D127" s="906"/>
      <c r="E127" s="905"/>
      <c r="F127" s="80"/>
      <c r="G127" s="488">
        <f t="shared" si="25"/>
        <v>0</v>
      </c>
      <c r="H127" s="80"/>
      <c r="I127" s="488"/>
      <c r="J127" s="488">
        <f>15.18+165-26.6</f>
        <v>153.58</v>
      </c>
      <c r="K127" s="115"/>
      <c r="L127" s="104" t="s">
        <v>105</v>
      </c>
      <c r="M127" s="925"/>
    </row>
    <row r="128" spans="1:13" s="25" customFormat="1" ht="24.75" customHeight="1" thickBot="1">
      <c r="A128" s="855"/>
      <c r="B128" s="922"/>
      <c r="C128" s="922"/>
      <c r="D128" s="906"/>
      <c r="E128" s="905"/>
      <c r="F128" s="116"/>
      <c r="G128" s="117">
        <f t="shared" si="25"/>
        <v>0</v>
      </c>
      <c r="H128" s="116"/>
      <c r="I128" s="117"/>
      <c r="J128" s="117">
        <v>0</v>
      </c>
      <c r="K128" s="118"/>
      <c r="L128" s="108" t="s">
        <v>106</v>
      </c>
      <c r="M128" s="925"/>
    </row>
    <row r="129" spans="1:13" s="25" customFormat="1" ht="24.75" customHeight="1" thickBot="1">
      <c r="A129" s="855"/>
      <c r="B129" s="922"/>
      <c r="C129" s="922"/>
      <c r="D129" s="906">
        <v>2019</v>
      </c>
      <c r="E129" s="905">
        <f>F129+G129+J129+K129</f>
        <v>387.68000000000006</v>
      </c>
      <c r="F129" s="109">
        <f aca="true" t="shared" si="26" ref="F129:K129">SUM(F130:F136)</f>
        <v>0</v>
      </c>
      <c r="G129" s="110">
        <f t="shared" si="26"/>
        <v>0</v>
      </c>
      <c r="H129" s="110">
        <f t="shared" si="26"/>
        <v>0</v>
      </c>
      <c r="I129" s="110">
        <f t="shared" si="26"/>
        <v>0</v>
      </c>
      <c r="J129" s="110">
        <f t="shared" si="26"/>
        <v>387.68000000000006</v>
      </c>
      <c r="K129" s="110">
        <f t="shared" si="26"/>
        <v>0</v>
      </c>
      <c r="L129" s="111"/>
      <c r="M129" s="925"/>
    </row>
    <row r="130" spans="1:13" s="25" customFormat="1" ht="24.75" customHeight="1" thickBot="1">
      <c r="A130" s="855"/>
      <c r="B130" s="922"/>
      <c r="C130" s="922"/>
      <c r="D130" s="906"/>
      <c r="E130" s="905"/>
      <c r="F130" s="112"/>
      <c r="G130" s="113">
        <f aca="true" t="shared" si="27" ref="G130:G136">H130+I130</f>
        <v>0</v>
      </c>
      <c r="H130" s="112"/>
      <c r="I130" s="113"/>
      <c r="J130" s="113">
        <v>0</v>
      </c>
      <c r="K130" s="114"/>
      <c r="L130" s="102" t="s">
        <v>100</v>
      </c>
      <c r="M130" s="925"/>
    </row>
    <row r="131" spans="1:13" s="25" customFormat="1" ht="24.75" customHeight="1" thickBot="1">
      <c r="A131" s="855"/>
      <c r="B131" s="922"/>
      <c r="C131" s="922"/>
      <c r="D131" s="906"/>
      <c r="E131" s="905"/>
      <c r="F131" s="80"/>
      <c r="G131" s="488">
        <f t="shared" si="27"/>
        <v>0</v>
      </c>
      <c r="H131" s="80"/>
      <c r="I131" s="488"/>
      <c r="J131" s="488">
        <v>12.64</v>
      </c>
      <c r="K131" s="115"/>
      <c r="L131" s="104" t="s">
        <v>101</v>
      </c>
      <c r="M131" s="925"/>
    </row>
    <row r="132" spans="1:13" s="25" customFormat="1" ht="24.75" customHeight="1" thickBot="1">
      <c r="A132" s="855"/>
      <c r="B132" s="922"/>
      <c r="C132" s="922"/>
      <c r="D132" s="906"/>
      <c r="E132" s="905"/>
      <c r="F132" s="80"/>
      <c r="G132" s="488">
        <f t="shared" si="27"/>
        <v>0</v>
      </c>
      <c r="H132" s="80"/>
      <c r="I132" s="488"/>
      <c r="J132" s="488">
        <v>12.64</v>
      </c>
      <c r="K132" s="115"/>
      <c r="L132" s="104" t="s">
        <v>102</v>
      </c>
      <c r="M132" s="925"/>
    </row>
    <row r="133" spans="1:13" s="25" customFormat="1" ht="24.75" customHeight="1" thickBot="1">
      <c r="A133" s="855"/>
      <c r="B133" s="922"/>
      <c r="C133" s="922"/>
      <c r="D133" s="906"/>
      <c r="E133" s="905"/>
      <c r="F133" s="80"/>
      <c r="G133" s="488">
        <f t="shared" si="27"/>
        <v>0</v>
      </c>
      <c r="H133" s="80"/>
      <c r="I133" s="488"/>
      <c r="J133" s="488">
        <f>12.64+100</f>
        <v>112.64</v>
      </c>
      <c r="K133" s="115"/>
      <c r="L133" s="104" t="s">
        <v>103</v>
      </c>
      <c r="M133" s="925"/>
    </row>
    <row r="134" spans="1:13" s="25" customFormat="1" ht="21.75" customHeight="1" thickBot="1">
      <c r="A134" s="855"/>
      <c r="B134" s="922"/>
      <c r="C134" s="922"/>
      <c r="D134" s="906"/>
      <c r="E134" s="905"/>
      <c r="F134" s="80"/>
      <c r="G134" s="488">
        <f t="shared" si="27"/>
        <v>0</v>
      </c>
      <c r="H134" s="80"/>
      <c r="I134" s="488"/>
      <c r="J134" s="488">
        <v>0</v>
      </c>
      <c r="K134" s="115"/>
      <c r="L134" s="104" t="s">
        <v>107</v>
      </c>
      <c r="M134" s="925"/>
    </row>
    <row r="135" spans="1:13" s="25" customFormat="1" ht="21" customHeight="1" thickBot="1">
      <c r="A135" s="855"/>
      <c r="B135" s="922"/>
      <c r="C135" s="922"/>
      <c r="D135" s="906"/>
      <c r="E135" s="905"/>
      <c r="F135" s="80"/>
      <c r="G135" s="488">
        <f t="shared" si="27"/>
        <v>0</v>
      </c>
      <c r="H135" s="80"/>
      <c r="I135" s="488"/>
      <c r="J135" s="488">
        <f>30.36+100</f>
        <v>130.36</v>
      </c>
      <c r="K135" s="115"/>
      <c r="L135" s="104" t="s">
        <v>104</v>
      </c>
      <c r="M135" s="925"/>
    </row>
    <row r="136" spans="1:13" s="25" customFormat="1" ht="21" customHeight="1" thickBot="1">
      <c r="A136" s="855"/>
      <c r="B136" s="922"/>
      <c r="C136" s="922"/>
      <c r="D136" s="906"/>
      <c r="E136" s="905"/>
      <c r="F136" s="116"/>
      <c r="G136" s="117">
        <f t="shared" si="27"/>
        <v>0</v>
      </c>
      <c r="H136" s="116"/>
      <c r="I136" s="117"/>
      <c r="J136" s="117">
        <f>15.18+16.731+100-12.511</f>
        <v>119.4</v>
      </c>
      <c r="K136" s="118"/>
      <c r="L136" s="108" t="s">
        <v>105</v>
      </c>
      <c r="M136" s="925"/>
    </row>
    <row r="137" spans="1:13" s="25" customFormat="1" ht="26.25" customHeight="1" thickBot="1">
      <c r="A137" s="855"/>
      <c r="B137" s="922"/>
      <c r="C137" s="922"/>
      <c r="D137" s="906">
        <v>2020</v>
      </c>
      <c r="E137" s="905">
        <f>F137+G137+J137+K137</f>
        <v>153.72</v>
      </c>
      <c r="F137" s="109">
        <f aca="true" t="shared" si="28" ref="F137:K137">SUM(F139:F144)</f>
        <v>0</v>
      </c>
      <c r="G137" s="110">
        <f t="shared" si="28"/>
        <v>0</v>
      </c>
      <c r="H137" s="110">
        <f t="shared" si="28"/>
        <v>0</v>
      </c>
      <c r="I137" s="110">
        <f t="shared" si="28"/>
        <v>0</v>
      </c>
      <c r="J137" s="110">
        <f t="shared" si="28"/>
        <v>153.72</v>
      </c>
      <c r="K137" s="477">
        <f t="shared" si="28"/>
        <v>0</v>
      </c>
      <c r="L137" s="119"/>
      <c r="M137" s="925"/>
    </row>
    <row r="138" spans="1:13" s="25" customFormat="1" ht="21.75" customHeight="1" thickBot="1">
      <c r="A138" s="855"/>
      <c r="B138" s="922"/>
      <c r="C138" s="922"/>
      <c r="D138" s="906"/>
      <c r="E138" s="905"/>
      <c r="F138" s="112"/>
      <c r="G138" s="113">
        <f aca="true" t="shared" si="29" ref="G138:G144">H138+I138</f>
        <v>0</v>
      </c>
      <c r="H138" s="112"/>
      <c r="I138" s="113"/>
      <c r="J138" s="113">
        <v>0</v>
      </c>
      <c r="K138" s="114"/>
      <c r="L138" s="104" t="s">
        <v>100</v>
      </c>
      <c r="M138" s="925"/>
    </row>
    <row r="139" spans="1:13" s="25" customFormat="1" ht="24.75" customHeight="1" thickBot="1">
      <c r="A139" s="855"/>
      <c r="B139" s="922"/>
      <c r="C139" s="922"/>
      <c r="D139" s="906"/>
      <c r="E139" s="905"/>
      <c r="F139" s="80"/>
      <c r="G139" s="488">
        <f t="shared" si="29"/>
        <v>0</v>
      </c>
      <c r="H139" s="80"/>
      <c r="I139" s="488"/>
      <c r="J139" s="488">
        <v>29.64</v>
      </c>
      <c r="K139" s="115"/>
      <c r="L139" s="104" t="s">
        <v>108</v>
      </c>
      <c r="M139" s="925"/>
    </row>
    <row r="140" spans="1:13" s="25" customFormat="1" ht="24.75" customHeight="1" thickBot="1">
      <c r="A140" s="855"/>
      <c r="B140" s="922"/>
      <c r="C140" s="922"/>
      <c r="D140" s="906"/>
      <c r="E140" s="905"/>
      <c r="F140" s="80"/>
      <c r="G140" s="488">
        <f t="shared" si="29"/>
        <v>0</v>
      </c>
      <c r="H140" s="80"/>
      <c r="I140" s="488"/>
      <c r="J140" s="488">
        <v>29.64</v>
      </c>
      <c r="K140" s="115"/>
      <c r="L140" s="104" t="s">
        <v>109</v>
      </c>
      <c r="M140" s="925"/>
    </row>
    <row r="141" spans="1:13" s="25" customFormat="1" ht="24.75" customHeight="1" thickBot="1">
      <c r="A141" s="855"/>
      <c r="B141" s="922"/>
      <c r="C141" s="922"/>
      <c r="D141" s="906"/>
      <c r="E141" s="905"/>
      <c r="F141" s="80"/>
      <c r="G141" s="488">
        <f t="shared" si="29"/>
        <v>0</v>
      </c>
      <c r="H141" s="80"/>
      <c r="I141" s="488"/>
      <c r="J141" s="488">
        <v>29.64</v>
      </c>
      <c r="K141" s="115"/>
      <c r="L141" s="104" t="s">
        <v>110</v>
      </c>
      <c r="M141" s="925"/>
    </row>
    <row r="142" spans="1:13" s="25" customFormat="1" ht="24.75" customHeight="1" thickBot="1">
      <c r="A142" s="855"/>
      <c r="B142" s="922"/>
      <c r="C142" s="922"/>
      <c r="D142" s="906"/>
      <c r="E142" s="905"/>
      <c r="F142" s="80"/>
      <c r="G142" s="488">
        <f t="shared" si="29"/>
        <v>0</v>
      </c>
      <c r="H142" s="80"/>
      <c r="I142" s="488"/>
      <c r="J142" s="488">
        <v>0</v>
      </c>
      <c r="K142" s="115"/>
      <c r="L142" s="104" t="s">
        <v>111</v>
      </c>
      <c r="M142" s="925"/>
    </row>
    <row r="143" spans="1:13" s="25" customFormat="1" ht="24.75" customHeight="1" thickBot="1">
      <c r="A143" s="855"/>
      <c r="B143" s="922"/>
      <c r="C143" s="922"/>
      <c r="D143" s="906"/>
      <c r="E143" s="905"/>
      <c r="F143" s="80"/>
      <c r="G143" s="488">
        <f t="shared" si="29"/>
        <v>0</v>
      </c>
      <c r="H143" s="80"/>
      <c r="I143" s="488"/>
      <c r="J143" s="488">
        <f>33.6-1.2</f>
        <v>32.4</v>
      </c>
      <c r="K143" s="115"/>
      <c r="L143" s="104" t="s">
        <v>112</v>
      </c>
      <c r="M143" s="925"/>
    </row>
    <row r="144" spans="1:13" s="25" customFormat="1" ht="24.75" customHeight="1" thickBot="1">
      <c r="A144" s="855"/>
      <c r="B144" s="922"/>
      <c r="C144" s="922"/>
      <c r="D144" s="906"/>
      <c r="E144" s="905"/>
      <c r="F144" s="116"/>
      <c r="G144" s="117">
        <f t="shared" si="29"/>
        <v>0</v>
      </c>
      <c r="H144" s="116"/>
      <c r="I144" s="117"/>
      <c r="J144" s="117">
        <f>32.6-0.2</f>
        <v>32.4</v>
      </c>
      <c r="K144" s="118"/>
      <c r="L144" s="108" t="s">
        <v>113</v>
      </c>
      <c r="M144" s="925"/>
    </row>
    <row r="145" spans="1:13" s="35" customFormat="1" ht="24.75" customHeight="1" thickBot="1">
      <c r="A145" s="855"/>
      <c r="B145" s="922"/>
      <c r="C145" s="922"/>
      <c r="D145" s="917">
        <v>2021</v>
      </c>
      <c r="E145" s="918">
        <f>F145+G145+J145+K145</f>
        <v>453.572</v>
      </c>
      <c r="F145" s="120">
        <f>SUM(F146:F153)</f>
        <v>0</v>
      </c>
      <c r="G145" s="120">
        <f>SUM(G146:G153)</f>
        <v>0</v>
      </c>
      <c r="H145" s="120">
        <f>SUM(H146:H153)</f>
        <v>0</v>
      </c>
      <c r="I145" s="120">
        <f>SUM(I146:I153)</f>
        <v>0</v>
      </c>
      <c r="J145" s="120">
        <f>SUM(J146:J153)</f>
        <v>453.572</v>
      </c>
      <c r="K145" s="121"/>
      <c r="L145" s="519"/>
      <c r="M145" s="925"/>
    </row>
    <row r="146" spans="1:13" s="35" customFormat="1" ht="24.75" customHeight="1" thickBot="1">
      <c r="A146" s="855"/>
      <c r="B146" s="922"/>
      <c r="C146" s="922"/>
      <c r="D146" s="917"/>
      <c r="E146" s="918"/>
      <c r="F146" s="122"/>
      <c r="G146" s="123"/>
      <c r="H146" s="122"/>
      <c r="I146" s="123"/>
      <c r="J146" s="123">
        <v>0</v>
      </c>
      <c r="K146" s="124"/>
      <c r="L146" s="125" t="s">
        <v>114</v>
      </c>
      <c r="M146" s="925"/>
    </row>
    <row r="147" spans="1:13" s="35" customFormat="1" ht="24.75" customHeight="1" thickBot="1">
      <c r="A147" s="855"/>
      <c r="B147" s="922"/>
      <c r="C147" s="922"/>
      <c r="D147" s="917"/>
      <c r="E147" s="918"/>
      <c r="F147" s="126"/>
      <c r="G147" s="127"/>
      <c r="H147" s="126"/>
      <c r="I147" s="127"/>
      <c r="J147" s="127">
        <v>31.404</v>
      </c>
      <c r="K147" s="128"/>
      <c r="L147" s="129" t="s">
        <v>108</v>
      </c>
      <c r="M147" s="925"/>
    </row>
    <row r="148" spans="1:13" s="35" customFormat="1" ht="24.75" customHeight="1" thickBot="1">
      <c r="A148" s="855"/>
      <c r="B148" s="922"/>
      <c r="C148" s="922"/>
      <c r="D148" s="917"/>
      <c r="E148" s="918"/>
      <c r="F148" s="126"/>
      <c r="G148" s="127"/>
      <c r="H148" s="126"/>
      <c r="I148" s="127"/>
      <c r="J148" s="127">
        <v>31.404</v>
      </c>
      <c r="K148" s="128"/>
      <c r="L148" s="129" t="s">
        <v>109</v>
      </c>
      <c r="M148" s="925"/>
    </row>
    <row r="149" spans="1:13" s="35" customFormat="1" ht="24.75" customHeight="1" thickBot="1">
      <c r="A149" s="855"/>
      <c r="B149" s="922"/>
      <c r="C149" s="922"/>
      <c r="D149" s="917"/>
      <c r="E149" s="918"/>
      <c r="F149" s="126"/>
      <c r="G149" s="127"/>
      <c r="H149" s="126"/>
      <c r="I149" s="127"/>
      <c r="J149" s="127">
        <v>101.404</v>
      </c>
      <c r="K149" s="128"/>
      <c r="L149" s="129" t="s">
        <v>110</v>
      </c>
      <c r="M149" s="925"/>
    </row>
    <row r="150" spans="1:13" s="35" customFormat="1" ht="24.75" customHeight="1" thickBot="1">
      <c r="A150" s="855"/>
      <c r="B150" s="922"/>
      <c r="C150" s="922"/>
      <c r="D150" s="917"/>
      <c r="E150" s="918"/>
      <c r="F150" s="127"/>
      <c r="G150" s="127"/>
      <c r="H150" s="126"/>
      <c r="I150" s="127"/>
      <c r="J150" s="127">
        <v>30.48</v>
      </c>
      <c r="K150" s="128"/>
      <c r="L150" s="129" t="s">
        <v>111</v>
      </c>
      <c r="M150" s="925"/>
    </row>
    <row r="151" spans="1:13" s="35" customFormat="1" ht="24.75" customHeight="1" thickBot="1">
      <c r="A151" s="855"/>
      <c r="B151" s="922"/>
      <c r="C151" s="922"/>
      <c r="D151" s="917"/>
      <c r="E151" s="918"/>
      <c r="F151" s="126"/>
      <c r="G151" s="127"/>
      <c r="H151" s="126"/>
      <c r="I151" s="127"/>
      <c r="J151" s="127">
        <v>34.44</v>
      </c>
      <c r="K151" s="128"/>
      <c r="L151" s="129" t="s">
        <v>112</v>
      </c>
      <c r="M151" s="925"/>
    </row>
    <row r="152" spans="1:13" s="35" customFormat="1" ht="24.75" customHeight="1" thickBot="1">
      <c r="A152" s="855"/>
      <c r="B152" s="922"/>
      <c r="C152" s="922"/>
      <c r="D152" s="917"/>
      <c r="E152" s="918"/>
      <c r="F152" s="130"/>
      <c r="G152" s="131"/>
      <c r="H152" s="130"/>
      <c r="I152" s="131"/>
      <c r="J152" s="131">
        <v>34.44</v>
      </c>
      <c r="K152" s="132"/>
      <c r="L152" s="609" t="s">
        <v>113</v>
      </c>
      <c r="M152" s="925"/>
    </row>
    <row r="153" spans="1:13" s="35" customFormat="1" ht="24.75" customHeight="1" thickBot="1">
      <c r="A153" s="855"/>
      <c r="B153" s="860" t="s">
        <v>115</v>
      </c>
      <c r="C153" s="860"/>
      <c r="D153" s="917"/>
      <c r="E153" s="918"/>
      <c r="F153" s="133"/>
      <c r="G153" s="134"/>
      <c r="H153" s="133"/>
      <c r="I153" s="134"/>
      <c r="J153" s="134">
        <v>190</v>
      </c>
      <c r="K153" s="135"/>
      <c r="L153" s="608" t="s">
        <v>113</v>
      </c>
      <c r="M153" s="925"/>
    </row>
    <row r="154" spans="1:13" s="25" customFormat="1" ht="24.75" customHeight="1" thickBot="1">
      <c r="A154" s="855"/>
      <c r="B154" s="136"/>
      <c r="C154" s="137"/>
      <c r="D154" s="911">
        <v>2022</v>
      </c>
      <c r="E154" s="138">
        <f>F154+G154+J154+K154</f>
        <v>212.72000000000003</v>
      </c>
      <c r="F154" s="139">
        <f>SUM(F155:F161)</f>
        <v>0</v>
      </c>
      <c r="G154" s="140">
        <f>SUM(G155:G161)</f>
        <v>0</v>
      </c>
      <c r="H154" s="140">
        <f>SUM(H155:H161)</f>
        <v>0</v>
      </c>
      <c r="I154" s="140">
        <f>SUM(I155:I161)</f>
        <v>0</v>
      </c>
      <c r="J154" s="140">
        <f>SUM(J155:J161)</f>
        <v>212.72000000000003</v>
      </c>
      <c r="K154" s="141"/>
      <c r="L154" s="142"/>
      <c r="M154" s="925"/>
    </row>
    <row r="155" spans="1:13" s="25" customFormat="1" ht="24.75" customHeight="1" thickBot="1">
      <c r="A155" s="855"/>
      <c r="B155" s="136"/>
      <c r="C155" s="137"/>
      <c r="D155" s="911"/>
      <c r="E155" s="910"/>
      <c r="F155" s="112"/>
      <c r="G155" s="113"/>
      <c r="H155" s="112"/>
      <c r="I155" s="113"/>
      <c r="J155" s="113">
        <v>0</v>
      </c>
      <c r="K155" s="143"/>
      <c r="L155" s="144" t="s">
        <v>114</v>
      </c>
      <c r="M155" s="925"/>
    </row>
    <row r="156" spans="1:13" s="25" customFormat="1" ht="24.75" customHeight="1" thickBot="1">
      <c r="A156" s="855"/>
      <c r="B156" s="136"/>
      <c r="C156" s="137"/>
      <c r="D156" s="911"/>
      <c r="E156" s="910"/>
      <c r="F156" s="80"/>
      <c r="G156" s="488"/>
      <c r="H156" s="80"/>
      <c r="I156" s="488"/>
      <c r="J156" s="127">
        <v>34.6</v>
      </c>
      <c r="K156" s="145"/>
      <c r="L156" s="104" t="s">
        <v>108</v>
      </c>
      <c r="M156" s="925"/>
    </row>
    <row r="157" spans="1:13" s="25" customFormat="1" ht="24.75" customHeight="1" thickBot="1">
      <c r="A157" s="855"/>
      <c r="B157" s="136"/>
      <c r="C157" s="137"/>
      <c r="D157" s="911"/>
      <c r="E157" s="910"/>
      <c r="F157" s="80"/>
      <c r="G157" s="488"/>
      <c r="H157" s="80"/>
      <c r="I157" s="488"/>
      <c r="J157" s="127">
        <v>34.6</v>
      </c>
      <c r="K157" s="145"/>
      <c r="L157" s="104" t="s">
        <v>109</v>
      </c>
      <c r="M157" s="925"/>
    </row>
    <row r="158" spans="1:13" s="25" customFormat="1" ht="24.75" customHeight="1" thickBot="1">
      <c r="A158" s="855"/>
      <c r="B158" s="136"/>
      <c r="C158" s="137"/>
      <c r="D158" s="911"/>
      <c r="E158" s="910"/>
      <c r="F158" s="80"/>
      <c r="G158" s="488"/>
      <c r="H158" s="80"/>
      <c r="I158" s="488"/>
      <c r="J158" s="127">
        <v>34.6</v>
      </c>
      <c r="K158" s="145"/>
      <c r="L158" s="104" t="s">
        <v>110</v>
      </c>
      <c r="M158" s="925"/>
    </row>
    <row r="159" spans="1:13" s="25" customFormat="1" ht="24.75" customHeight="1" thickBot="1">
      <c r="A159" s="855"/>
      <c r="B159" s="136"/>
      <c r="C159" s="137"/>
      <c r="D159" s="911"/>
      <c r="E159" s="910"/>
      <c r="F159" s="80"/>
      <c r="G159" s="488"/>
      <c r="H159" s="80"/>
      <c r="I159" s="488"/>
      <c r="J159" s="127">
        <v>34.12</v>
      </c>
      <c r="K159" s="145"/>
      <c r="L159" s="104" t="s">
        <v>111</v>
      </c>
      <c r="M159" s="925"/>
    </row>
    <row r="160" spans="1:13" s="25" customFormat="1" ht="24.75" customHeight="1" thickBot="1">
      <c r="A160" s="855"/>
      <c r="B160" s="136"/>
      <c r="C160" s="137"/>
      <c r="D160" s="911"/>
      <c r="E160" s="910"/>
      <c r="F160" s="80"/>
      <c r="G160" s="488"/>
      <c r="H160" s="80"/>
      <c r="I160" s="488"/>
      <c r="J160" s="127">
        <v>37.4</v>
      </c>
      <c r="K160" s="145"/>
      <c r="L160" s="104" t="s">
        <v>112</v>
      </c>
      <c r="M160" s="925"/>
    </row>
    <row r="161" spans="1:13" s="25" customFormat="1" ht="24.75" customHeight="1" thickBot="1">
      <c r="A161" s="855"/>
      <c r="B161" s="136"/>
      <c r="C161" s="137"/>
      <c r="D161" s="911"/>
      <c r="E161" s="910"/>
      <c r="F161" s="146"/>
      <c r="G161" s="147"/>
      <c r="H161" s="146"/>
      <c r="I161" s="147"/>
      <c r="J161" s="131">
        <v>37.4</v>
      </c>
      <c r="K161" s="148"/>
      <c r="L161" s="108" t="s">
        <v>113</v>
      </c>
      <c r="M161" s="925"/>
    </row>
    <row r="162" spans="1:13" s="25" customFormat="1" ht="24.75" customHeight="1" thickBot="1">
      <c r="A162" s="855"/>
      <c r="B162" s="136"/>
      <c r="C162" s="137"/>
      <c r="D162" s="912">
        <v>2023</v>
      </c>
      <c r="E162" s="109">
        <f>F162+G162+J162+K162</f>
        <v>0</v>
      </c>
      <c r="F162" s="149">
        <f>SUM(F163:F168)</f>
        <v>0</v>
      </c>
      <c r="G162" s="149">
        <f>H162+I162</f>
        <v>0</v>
      </c>
      <c r="H162" s="149">
        <f>SUM(H163:H168)</f>
        <v>0</v>
      </c>
      <c r="I162" s="149">
        <f>SUM(I163:I168)</f>
        <v>0</v>
      </c>
      <c r="J162" s="149">
        <f>SUM(J163:J168)</f>
        <v>0</v>
      </c>
      <c r="K162" s="150"/>
      <c r="L162" s="111"/>
      <c r="M162" s="925"/>
    </row>
    <row r="163" spans="1:13" s="25" customFormat="1" ht="24.75" customHeight="1" thickBot="1">
      <c r="A163" s="855"/>
      <c r="B163" s="136"/>
      <c r="C163" s="137"/>
      <c r="D163" s="912"/>
      <c r="E163" s="913"/>
      <c r="F163" s="112"/>
      <c r="G163" s="113"/>
      <c r="H163" s="112"/>
      <c r="I163" s="113"/>
      <c r="J163" s="488">
        <v>0</v>
      </c>
      <c r="K163" s="143"/>
      <c r="L163" s="104" t="s">
        <v>108</v>
      </c>
      <c r="M163" s="925"/>
    </row>
    <row r="164" spans="1:13" s="25" customFormat="1" ht="24.75" customHeight="1" thickBot="1">
      <c r="A164" s="855"/>
      <c r="B164" s="136"/>
      <c r="C164" s="137"/>
      <c r="D164" s="912"/>
      <c r="E164" s="913"/>
      <c r="F164" s="80"/>
      <c r="G164" s="488"/>
      <c r="H164" s="80"/>
      <c r="I164" s="488"/>
      <c r="J164" s="488">
        <v>0</v>
      </c>
      <c r="K164" s="145"/>
      <c r="L164" s="104" t="s">
        <v>109</v>
      </c>
      <c r="M164" s="925"/>
    </row>
    <row r="165" spans="1:13" s="25" customFormat="1" ht="24.75" customHeight="1" thickBot="1">
      <c r="A165" s="855"/>
      <c r="B165" s="136"/>
      <c r="C165" s="137"/>
      <c r="D165" s="912"/>
      <c r="E165" s="913"/>
      <c r="F165" s="80"/>
      <c r="G165" s="488"/>
      <c r="H165" s="80"/>
      <c r="I165" s="488"/>
      <c r="J165" s="488">
        <v>0</v>
      </c>
      <c r="K165" s="145"/>
      <c r="L165" s="104" t="s">
        <v>110</v>
      </c>
      <c r="M165" s="925"/>
    </row>
    <row r="166" spans="1:13" s="25" customFormat="1" ht="24.75" customHeight="1" thickBot="1">
      <c r="A166" s="855"/>
      <c r="B166" s="136"/>
      <c r="C166" s="137"/>
      <c r="D166" s="912"/>
      <c r="E166" s="913"/>
      <c r="F166" s="80"/>
      <c r="G166" s="488"/>
      <c r="H166" s="80"/>
      <c r="I166" s="488"/>
      <c r="J166" s="488">
        <v>0</v>
      </c>
      <c r="K166" s="145"/>
      <c r="L166" s="104" t="s">
        <v>111</v>
      </c>
      <c r="M166" s="925"/>
    </row>
    <row r="167" spans="1:13" s="25" customFormat="1" ht="24.75" customHeight="1" thickBot="1">
      <c r="A167" s="855"/>
      <c r="B167" s="136"/>
      <c r="C167" s="137"/>
      <c r="D167" s="912"/>
      <c r="E167" s="913"/>
      <c r="F167" s="80"/>
      <c r="G167" s="488"/>
      <c r="H167" s="80"/>
      <c r="I167" s="488"/>
      <c r="J167" s="488">
        <v>0</v>
      </c>
      <c r="K167" s="145"/>
      <c r="L167" s="104" t="s">
        <v>112</v>
      </c>
      <c r="M167" s="925"/>
    </row>
    <row r="168" spans="1:13" s="25" customFormat="1" ht="24.75" customHeight="1" thickBot="1">
      <c r="A168" s="855"/>
      <c r="B168" s="151"/>
      <c r="C168" s="152"/>
      <c r="D168" s="912"/>
      <c r="E168" s="913"/>
      <c r="F168" s="146"/>
      <c r="G168" s="147"/>
      <c r="H168" s="146"/>
      <c r="I168" s="147"/>
      <c r="J168" s="488">
        <v>0</v>
      </c>
      <c r="K168" s="153"/>
      <c r="L168" s="108" t="s">
        <v>113</v>
      </c>
      <c r="M168" s="925"/>
    </row>
    <row r="169" spans="1:13" s="25" customFormat="1" ht="27.75" customHeight="1" thickBot="1">
      <c r="A169" s="914" t="s">
        <v>116</v>
      </c>
      <c r="B169" s="915" t="s">
        <v>117</v>
      </c>
      <c r="C169" s="915"/>
      <c r="D169" s="906">
        <v>2019</v>
      </c>
      <c r="E169" s="916">
        <f>F169+G169+J169+K169</f>
        <v>47.04</v>
      </c>
      <c r="F169" s="154">
        <f>SUM(F170:F175)</f>
        <v>0</v>
      </c>
      <c r="G169" s="149">
        <f aca="true" t="shared" si="30" ref="G169:G191">H169+I169</f>
        <v>0</v>
      </c>
      <c r="H169" s="110">
        <f>SUM(H170:H175)</f>
        <v>0</v>
      </c>
      <c r="I169" s="110">
        <f>SUM(I170:I175)</f>
        <v>0</v>
      </c>
      <c r="J169" s="110">
        <f>SUM(J170:J175)</f>
        <v>47.04</v>
      </c>
      <c r="K169" s="155"/>
      <c r="L169" s="142"/>
      <c r="M169" s="925"/>
    </row>
    <row r="170" spans="1:13" s="25" customFormat="1" ht="24.75" customHeight="1" thickBot="1">
      <c r="A170" s="914"/>
      <c r="B170" s="915"/>
      <c r="C170" s="915"/>
      <c r="D170" s="906"/>
      <c r="E170" s="916"/>
      <c r="F170" s="156"/>
      <c r="G170" s="113">
        <f t="shared" si="30"/>
        <v>0</v>
      </c>
      <c r="H170" s="112"/>
      <c r="I170" s="113"/>
      <c r="J170" s="113">
        <v>4.5</v>
      </c>
      <c r="K170" s="114"/>
      <c r="L170" s="102" t="s">
        <v>118</v>
      </c>
      <c r="M170" s="925"/>
    </row>
    <row r="171" spans="1:13" s="25" customFormat="1" ht="24.75" customHeight="1" thickBot="1">
      <c r="A171" s="914"/>
      <c r="B171" s="915"/>
      <c r="C171" s="915"/>
      <c r="D171" s="906"/>
      <c r="E171" s="916"/>
      <c r="F171" s="157"/>
      <c r="G171" s="488">
        <f t="shared" si="30"/>
        <v>0</v>
      </c>
      <c r="H171" s="80"/>
      <c r="I171" s="488"/>
      <c r="J171" s="488">
        <v>6</v>
      </c>
      <c r="K171" s="115"/>
      <c r="L171" s="104" t="s">
        <v>119</v>
      </c>
      <c r="M171" s="925"/>
    </row>
    <row r="172" spans="1:13" s="25" customFormat="1" ht="24.75" customHeight="1" thickBot="1">
      <c r="A172" s="914"/>
      <c r="B172" s="915"/>
      <c r="C172" s="915"/>
      <c r="D172" s="906"/>
      <c r="E172" s="916"/>
      <c r="F172" s="157"/>
      <c r="G172" s="488">
        <f t="shared" si="30"/>
        <v>0</v>
      </c>
      <c r="H172" s="80"/>
      <c r="I172" s="488"/>
      <c r="J172" s="488">
        <v>4.5</v>
      </c>
      <c r="K172" s="115"/>
      <c r="L172" s="104" t="s">
        <v>120</v>
      </c>
      <c r="M172" s="925"/>
    </row>
    <row r="173" spans="1:13" s="25" customFormat="1" ht="24.75" customHeight="1" thickBot="1">
      <c r="A173" s="914"/>
      <c r="B173" s="915"/>
      <c r="C173" s="915"/>
      <c r="D173" s="906"/>
      <c r="E173" s="916"/>
      <c r="F173" s="157"/>
      <c r="G173" s="488">
        <f t="shared" si="30"/>
        <v>0</v>
      </c>
      <c r="H173" s="80"/>
      <c r="I173" s="488"/>
      <c r="J173" s="488">
        <v>20.04</v>
      </c>
      <c r="K173" s="115"/>
      <c r="L173" s="104" t="s">
        <v>106</v>
      </c>
      <c r="M173" s="925"/>
    </row>
    <row r="174" spans="1:13" s="25" customFormat="1" ht="24.75" customHeight="1" thickBot="1">
      <c r="A174" s="914"/>
      <c r="B174" s="915"/>
      <c r="C174" s="915"/>
      <c r="D174" s="906"/>
      <c r="E174" s="916"/>
      <c r="F174" s="157"/>
      <c r="G174" s="488">
        <f t="shared" si="30"/>
        <v>0</v>
      </c>
      <c r="H174" s="80"/>
      <c r="I174" s="488"/>
      <c r="J174" s="488">
        <v>12</v>
      </c>
      <c r="K174" s="115"/>
      <c r="L174" s="104" t="s">
        <v>121</v>
      </c>
      <c r="M174" s="925"/>
    </row>
    <row r="175" spans="1:13" s="25" customFormat="1" ht="24.75" customHeight="1" thickBot="1">
      <c r="A175" s="914"/>
      <c r="B175" s="915"/>
      <c r="C175" s="915"/>
      <c r="D175" s="906"/>
      <c r="E175" s="916"/>
      <c r="F175" s="158"/>
      <c r="G175" s="117">
        <f t="shared" si="30"/>
        <v>0</v>
      </c>
      <c r="H175" s="116"/>
      <c r="I175" s="117"/>
      <c r="J175" s="117">
        <v>0</v>
      </c>
      <c r="K175" s="118"/>
      <c r="L175" s="108"/>
      <c r="M175" s="925"/>
    </row>
    <row r="176" spans="1:13" s="25" customFormat="1" ht="24.75" customHeight="1" thickBot="1">
      <c r="A176" s="914"/>
      <c r="B176" s="915"/>
      <c r="C176" s="915"/>
      <c r="D176" s="906">
        <v>2020</v>
      </c>
      <c r="E176" s="905">
        <f>F176+G176+J176+K176</f>
        <v>39.64</v>
      </c>
      <c r="F176" s="159"/>
      <c r="G176" s="160">
        <f t="shared" si="30"/>
        <v>0</v>
      </c>
      <c r="H176" s="160">
        <f>H177+H178+H179+H180+H182+H183</f>
        <v>0</v>
      </c>
      <c r="I176" s="160">
        <f>I177+I178+I179+I180+I182+I183</f>
        <v>0</v>
      </c>
      <c r="J176" s="160">
        <f>SUM(J177:J183)</f>
        <v>39.64</v>
      </c>
      <c r="K176" s="161">
        <f>K177+K178+K179+K180+K182+K183</f>
        <v>0</v>
      </c>
      <c r="L176" s="142"/>
      <c r="M176" s="925"/>
    </row>
    <row r="177" spans="1:13" s="25" customFormat="1" ht="25.5" customHeight="1" thickBot="1">
      <c r="A177" s="914"/>
      <c r="B177" s="915"/>
      <c r="C177" s="915"/>
      <c r="D177" s="906"/>
      <c r="E177" s="905"/>
      <c r="F177" s="99"/>
      <c r="G177" s="99">
        <f t="shared" si="30"/>
        <v>0</v>
      </c>
      <c r="H177" s="99"/>
      <c r="I177" s="100"/>
      <c r="J177" s="100">
        <f>12-7.4</f>
        <v>4.6</v>
      </c>
      <c r="K177" s="99"/>
      <c r="L177" s="102" t="s">
        <v>114</v>
      </c>
      <c r="M177" s="925"/>
    </row>
    <row r="178" spans="1:13" s="25" customFormat="1" ht="24.75" customHeight="1" thickBot="1">
      <c r="A178" s="914"/>
      <c r="B178" s="915"/>
      <c r="C178" s="915"/>
      <c r="D178" s="906"/>
      <c r="E178" s="905"/>
      <c r="F178" s="485"/>
      <c r="G178" s="485">
        <f t="shared" si="30"/>
        <v>0</v>
      </c>
      <c r="H178" s="485"/>
      <c r="I178" s="486"/>
      <c r="J178" s="486">
        <v>4.5</v>
      </c>
      <c r="K178" s="485"/>
      <c r="L178" s="102" t="s">
        <v>118</v>
      </c>
      <c r="M178" s="925"/>
    </row>
    <row r="179" spans="1:13" s="25" customFormat="1" ht="24.75" customHeight="1" thickBot="1">
      <c r="A179" s="914"/>
      <c r="B179" s="915"/>
      <c r="C179" s="915"/>
      <c r="D179" s="906"/>
      <c r="E179" s="905"/>
      <c r="F179" s="485"/>
      <c r="G179" s="485">
        <f t="shared" si="30"/>
        <v>0</v>
      </c>
      <c r="H179" s="485"/>
      <c r="I179" s="486"/>
      <c r="J179" s="486">
        <v>6</v>
      </c>
      <c r="K179" s="485"/>
      <c r="L179" s="104" t="s">
        <v>119</v>
      </c>
      <c r="M179" s="925"/>
    </row>
    <row r="180" spans="1:13" s="25" customFormat="1" ht="24.75" customHeight="1" thickBot="1">
      <c r="A180" s="914"/>
      <c r="B180" s="915"/>
      <c r="C180" s="915"/>
      <c r="D180" s="906"/>
      <c r="E180" s="905"/>
      <c r="F180" s="485"/>
      <c r="G180" s="485">
        <f t="shared" si="30"/>
        <v>0</v>
      </c>
      <c r="H180" s="485"/>
      <c r="I180" s="486"/>
      <c r="J180" s="486">
        <v>4.5</v>
      </c>
      <c r="K180" s="485"/>
      <c r="L180" s="104" t="s">
        <v>120</v>
      </c>
      <c r="M180" s="925"/>
    </row>
    <row r="181" spans="1:13" s="25" customFormat="1" ht="24.75" customHeight="1" thickBot="1">
      <c r="A181" s="914"/>
      <c r="B181" s="915"/>
      <c r="C181" s="915"/>
      <c r="D181" s="906"/>
      <c r="E181" s="905"/>
      <c r="F181" s="485"/>
      <c r="G181" s="485">
        <f t="shared" si="30"/>
        <v>0</v>
      </c>
      <c r="H181" s="485"/>
      <c r="I181" s="486"/>
      <c r="J181" s="488">
        <v>20.04</v>
      </c>
      <c r="K181" s="115"/>
      <c r="L181" s="104" t="s">
        <v>106</v>
      </c>
      <c r="M181" s="925"/>
    </row>
    <row r="182" spans="1:13" s="25" customFormat="1" ht="24.75" customHeight="1" thickBot="1">
      <c r="A182" s="914"/>
      <c r="B182" s="915"/>
      <c r="C182" s="915"/>
      <c r="D182" s="906"/>
      <c r="E182" s="905"/>
      <c r="F182" s="485"/>
      <c r="G182" s="485">
        <f t="shared" si="30"/>
        <v>0</v>
      </c>
      <c r="H182" s="485"/>
      <c r="I182" s="486"/>
      <c r="J182" s="486">
        <v>0</v>
      </c>
      <c r="K182" s="485"/>
      <c r="L182" s="104" t="s">
        <v>112</v>
      </c>
      <c r="M182" s="925"/>
    </row>
    <row r="183" spans="1:13" s="25" customFormat="1" ht="24.75" customHeight="1" thickBot="1">
      <c r="A183" s="914"/>
      <c r="B183" s="915"/>
      <c r="C183" s="915"/>
      <c r="D183" s="906"/>
      <c r="E183" s="905"/>
      <c r="F183" s="105"/>
      <c r="G183" s="105">
        <f t="shared" si="30"/>
        <v>0</v>
      </c>
      <c r="H183" s="105"/>
      <c r="I183" s="107"/>
      <c r="J183" s="107">
        <v>0</v>
      </c>
      <c r="K183" s="105"/>
      <c r="L183" s="108" t="s">
        <v>113</v>
      </c>
      <c r="M183" s="925"/>
    </row>
    <row r="184" spans="1:13" s="25" customFormat="1" ht="24.75" customHeight="1" thickBot="1">
      <c r="A184" s="914"/>
      <c r="B184" s="915"/>
      <c r="C184" s="915"/>
      <c r="D184" s="906">
        <v>2021</v>
      </c>
      <c r="E184" s="905">
        <f>F184+G184+J184+K184</f>
        <v>0</v>
      </c>
      <c r="F184" s="159"/>
      <c r="G184" s="160">
        <f t="shared" si="30"/>
        <v>0</v>
      </c>
      <c r="H184" s="160">
        <f>H185+H186+H187+H188+H190+H191</f>
        <v>0</v>
      </c>
      <c r="I184" s="160">
        <f>I185+I186+I187+I188+I190+I191</f>
        <v>0</v>
      </c>
      <c r="J184" s="160">
        <f>SUM(J185:J191)</f>
        <v>0</v>
      </c>
      <c r="K184" s="160">
        <f>K185+K186+K187+K188+K190+K191</f>
        <v>0</v>
      </c>
      <c r="L184" s="111"/>
      <c r="M184" s="925"/>
    </row>
    <row r="185" spans="1:13" s="25" customFormat="1" ht="19.5" customHeight="1" thickBot="1">
      <c r="A185" s="914"/>
      <c r="B185" s="915"/>
      <c r="C185" s="915"/>
      <c r="D185" s="906"/>
      <c r="E185" s="905"/>
      <c r="F185" s="99"/>
      <c r="G185" s="99">
        <f t="shared" si="30"/>
        <v>0</v>
      </c>
      <c r="H185" s="99"/>
      <c r="I185" s="100"/>
      <c r="J185" s="486">
        <v>0</v>
      </c>
      <c r="K185" s="99"/>
      <c r="L185" s="102" t="s">
        <v>114</v>
      </c>
      <c r="M185" s="925"/>
    </row>
    <row r="186" spans="1:13" s="25" customFormat="1" ht="20.25" customHeight="1" thickBot="1">
      <c r="A186" s="914"/>
      <c r="B186" s="915"/>
      <c r="C186" s="915"/>
      <c r="D186" s="906"/>
      <c r="E186" s="905"/>
      <c r="F186" s="485"/>
      <c r="G186" s="485">
        <f t="shared" si="30"/>
        <v>0</v>
      </c>
      <c r="H186" s="485"/>
      <c r="I186" s="486"/>
      <c r="J186" s="486">
        <v>0</v>
      </c>
      <c r="K186" s="485"/>
      <c r="L186" s="102" t="s">
        <v>118</v>
      </c>
      <c r="M186" s="925"/>
    </row>
    <row r="187" spans="1:13" s="25" customFormat="1" ht="21" customHeight="1" thickBot="1">
      <c r="A187" s="914"/>
      <c r="B187" s="915"/>
      <c r="C187" s="915"/>
      <c r="D187" s="906"/>
      <c r="E187" s="905"/>
      <c r="F187" s="485"/>
      <c r="G187" s="485">
        <f t="shared" si="30"/>
        <v>0</v>
      </c>
      <c r="H187" s="485"/>
      <c r="I187" s="486"/>
      <c r="J187" s="486">
        <v>0</v>
      </c>
      <c r="K187" s="485"/>
      <c r="L187" s="104" t="s">
        <v>119</v>
      </c>
      <c r="M187" s="925"/>
    </row>
    <row r="188" spans="1:13" s="25" customFormat="1" ht="20.25" customHeight="1" thickBot="1">
      <c r="A188" s="914"/>
      <c r="B188" s="915"/>
      <c r="C188" s="915"/>
      <c r="D188" s="906"/>
      <c r="E188" s="905"/>
      <c r="F188" s="485"/>
      <c r="G188" s="485">
        <f t="shared" si="30"/>
        <v>0</v>
      </c>
      <c r="H188" s="485"/>
      <c r="I188" s="486"/>
      <c r="J188" s="486">
        <v>0</v>
      </c>
      <c r="K188" s="485"/>
      <c r="L188" s="104" t="s">
        <v>120</v>
      </c>
      <c r="M188" s="925"/>
    </row>
    <row r="189" spans="1:13" s="25" customFormat="1" ht="21" customHeight="1" thickBot="1">
      <c r="A189" s="914"/>
      <c r="B189" s="915"/>
      <c r="C189" s="915"/>
      <c r="D189" s="906"/>
      <c r="E189" s="905"/>
      <c r="F189" s="485"/>
      <c r="G189" s="485">
        <f t="shared" si="30"/>
        <v>0</v>
      </c>
      <c r="H189" s="485"/>
      <c r="I189" s="486"/>
      <c r="J189" s="486">
        <v>0</v>
      </c>
      <c r="K189" s="485"/>
      <c r="L189" s="104" t="s">
        <v>106</v>
      </c>
      <c r="M189" s="925"/>
    </row>
    <row r="190" spans="1:13" s="25" customFormat="1" ht="18.75" customHeight="1" thickBot="1">
      <c r="A190" s="914"/>
      <c r="B190" s="915"/>
      <c r="C190" s="915"/>
      <c r="D190" s="906"/>
      <c r="E190" s="905"/>
      <c r="F190" s="485"/>
      <c r="G190" s="485">
        <f t="shared" si="30"/>
        <v>0</v>
      </c>
      <c r="H190" s="485"/>
      <c r="I190" s="486"/>
      <c r="J190" s="486">
        <v>0</v>
      </c>
      <c r="K190" s="485"/>
      <c r="L190" s="104" t="s">
        <v>112</v>
      </c>
      <c r="M190" s="925"/>
    </row>
    <row r="191" spans="1:13" s="25" customFormat="1" ht="17.25" customHeight="1" thickBot="1">
      <c r="A191" s="914"/>
      <c r="B191" s="915"/>
      <c r="C191" s="915"/>
      <c r="D191" s="906"/>
      <c r="E191" s="905"/>
      <c r="F191" s="105"/>
      <c r="G191" s="105">
        <f t="shared" si="30"/>
        <v>0</v>
      </c>
      <c r="H191" s="105"/>
      <c r="I191" s="107"/>
      <c r="J191" s="107">
        <v>0</v>
      </c>
      <c r="K191" s="105"/>
      <c r="L191" s="108" t="s">
        <v>113</v>
      </c>
      <c r="M191" s="925"/>
    </row>
    <row r="192" spans="1:13" s="25" customFormat="1" ht="24" customHeight="1" thickBot="1">
      <c r="A192" s="914"/>
      <c r="B192" s="915"/>
      <c r="C192" s="915"/>
      <c r="D192" s="907">
        <v>2022</v>
      </c>
      <c r="E192" s="908">
        <f>F192+G192+J192+K192</f>
        <v>0</v>
      </c>
      <c r="F192" s="159"/>
      <c r="G192" s="160">
        <f>SUM(G193:G199)</f>
        <v>0</v>
      </c>
      <c r="H192" s="160">
        <f>SUM(H193:H199)</f>
        <v>0</v>
      </c>
      <c r="I192" s="160">
        <f>SUM(I193:I199)</f>
        <v>0</v>
      </c>
      <c r="J192" s="160">
        <f>SUM(J193:J199)</f>
        <v>0</v>
      </c>
      <c r="K192" s="160">
        <f>SUM(K193:K199)</f>
        <v>0</v>
      </c>
      <c r="L192" s="119"/>
      <c r="M192" s="629"/>
    </row>
    <row r="193" spans="1:13" s="25" customFormat="1" ht="23.25" customHeight="1" thickBot="1">
      <c r="A193" s="914"/>
      <c r="B193" s="915"/>
      <c r="C193" s="915"/>
      <c r="D193" s="907"/>
      <c r="E193" s="908"/>
      <c r="F193" s="99"/>
      <c r="G193" s="99"/>
      <c r="H193" s="99"/>
      <c r="I193" s="100"/>
      <c r="J193" s="486">
        <v>0</v>
      </c>
      <c r="K193" s="99"/>
      <c r="L193" s="104" t="s">
        <v>114</v>
      </c>
      <c r="M193" s="630"/>
    </row>
    <row r="194" spans="1:13" s="25" customFormat="1" ht="24.75" customHeight="1" thickBot="1">
      <c r="A194" s="914"/>
      <c r="B194" s="915"/>
      <c r="C194" s="915"/>
      <c r="D194" s="907"/>
      <c r="E194" s="908"/>
      <c r="F194" s="485"/>
      <c r="G194" s="485"/>
      <c r="H194" s="485"/>
      <c r="I194" s="486"/>
      <c r="J194" s="486">
        <v>0</v>
      </c>
      <c r="K194" s="485"/>
      <c r="L194" s="102" t="s">
        <v>118</v>
      </c>
      <c r="M194" s="630"/>
    </row>
    <row r="195" spans="1:13" s="25" customFormat="1" ht="24.75" customHeight="1" thickBot="1">
      <c r="A195" s="914"/>
      <c r="B195" s="915"/>
      <c r="C195" s="915"/>
      <c r="D195" s="907"/>
      <c r="E195" s="908"/>
      <c r="F195" s="485"/>
      <c r="G195" s="485"/>
      <c r="H195" s="485"/>
      <c r="I195" s="486"/>
      <c r="J195" s="486">
        <v>0</v>
      </c>
      <c r="K195" s="485"/>
      <c r="L195" s="104" t="s">
        <v>119</v>
      </c>
      <c r="M195" s="630"/>
    </row>
    <row r="196" spans="1:13" s="25" customFormat="1" ht="24.75" customHeight="1" thickBot="1">
      <c r="A196" s="914"/>
      <c r="B196" s="915"/>
      <c r="C196" s="915"/>
      <c r="D196" s="907"/>
      <c r="E196" s="908"/>
      <c r="F196" s="485"/>
      <c r="G196" s="485"/>
      <c r="H196" s="485"/>
      <c r="I196" s="486"/>
      <c r="J196" s="486">
        <v>0</v>
      </c>
      <c r="K196" s="485"/>
      <c r="L196" s="104" t="s">
        <v>120</v>
      </c>
      <c r="M196" s="630"/>
    </row>
    <row r="197" spans="1:13" s="25" customFormat="1" ht="24.75" customHeight="1" thickBot="1">
      <c r="A197" s="914"/>
      <c r="B197" s="915"/>
      <c r="C197" s="915"/>
      <c r="D197" s="907"/>
      <c r="E197" s="908"/>
      <c r="F197" s="485"/>
      <c r="G197" s="485"/>
      <c r="H197" s="485"/>
      <c r="I197" s="486"/>
      <c r="J197" s="486">
        <v>0</v>
      </c>
      <c r="K197" s="485"/>
      <c r="L197" s="104" t="s">
        <v>106</v>
      </c>
      <c r="M197" s="630"/>
    </row>
    <row r="198" spans="1:13" s="25" customFormat="1" ht="24.75" customHeight="1" thickBot="1">
      <c r="A198" s="914"/>
      <c r="B198" s="915"/>
      <c r="C198" s="915"/>
      <c r="D198" s="907"/>
      <c r="E198" s="908"/>
      <c r="F198" s="485"/>
      <c r="G198" s="485"/>
      <c r="H198" s="485"/>
      <c r="I198" s="486"/>
      <c r="J198" s="486">
        <v>0</v>
      </c>
      <c r="K198" s="485"/>
      <c r="L198" s="104" t="s">
        <v>112</v>
      </c>
      <c r="M198" s="630"/>
    </row>
    <row r="199" spans="1:13" s="25" customFormat="1" ht="24.75" customHeight="1" thickBot="1">
      <c r="A199" s="914"/>
      <c r="B199" s="915"/>
      <c r="C199" s="915"/>
      <c r="D199" s="907"/>
      <c r="E199" s="908"/>
      <c r="F199" s="162"/>
      <c r="G199" s="162"/>
      <c r="H199" s="162"/>
      <c r="I199" s="163"/>
      <c r="J199" s="486">
        <v>0</v>
      </c>
      <c r="K199" s="162"/>
      <c r="L199" s="108" t="s">
        <v>113</v>
      </c>
      <c r="M199" s="631"/>
    </row>
    <row r="200" spans="1:13" s="25" customFormat="1" ht="24.75" customHeight="1" thickBot="1">
      <c r="A200" s="914"/>
      <c r="B200" s="915"/>
      <c r="C200" s="915"/>
      <c r="D200" s="476">
        <v>2023</v>
      </c>
      <c r="E200" s="110">
        <f>F200+G200+J200+K200</f>
        <v>0</v>
      </c>
      <c r="F200" s="160">
        <f>SUM(F201:F207)</f>
        <v>0</v>
      </c>
      <c r="G200" s="160">
        <f>H200+I200</f>
        <v>0</v>
      </c>
      <c r="H200" s="160">
        <f>SUM(H201:H207)</f>
        <v>0</v>
      </c>
      <c r="I200" s="160">
        <f>SUM(I201:I207)</f>
        <v>0</v>
      </c>
      <c r="J200" s="160">
        <f>SUM(J201:J207)</f>
        <v>0</v>
      </c>
      <c r="K200" s="160">
        <f>SUM(K201:K207)</f>
        <v>0</v>
      </c>
      <c r="L200" s="111"/>
      <c r="M200" s="632"/>
    </row>
    <row r="201" spans="1:13" s="25" customFormat="1" ht="24.75" customHeight="1" thickBot="1">
      <c r="A201" s="914"/>
      <c r="B201" s="915"/>
      <c r="C201" s="915"/>
      <c r="D201" s="909"/>
      <c r="E201" s="910"/>
      <c r="F201" s="99"/>
      <c r="G201" s="99"/>
      <c r="H201" s="99"/>
      <c r="I201" s="100"/>
      <c r="J201" s="486">
        <v>0</v>
      </c>
      <c r="K201" s="99"/>
      <c r="L201" s="104" t="s">
        <v>114</v>
      </c>
      <c r="M201" s="629"/>
    </row>
    <row r="202" spans="1:13" s="25" customFormat="1" ht="24.75" customHeight="1" thickBot="1">
      <c r="A202" s="914"/>
      <c r="B202" s="915"/>
      <c r="C202" s="915"/>
      <c r="D202" s="909"/>
      <c r="E202" s="910"/>
      <c r="F202" s="485"/>
      <c r="G202" s="485"/>
      <c r="H202" s="485"/>
      <c r="I202" s="486"/>
      <c r="J202" s="486">
        <v>0</v>
      </c>
      <c r="K202" s="485"/>
      <c r="L202" s="102" t="s">
        <v>118</v>
      </c>
      <c r="M202" s="630"/>
    </row>
    <row r="203" spans="1:13" s="25" customFormat="1" ht="24.75" customHeight="1" thickBot="1">
      <c r="A203" s="914"/>
      <c r="B203" s="915"/>
      <c r="C203" s="915"/>
      <c r="D203" s="909"/>
      <c r="E203" s="910"/>
      <c r="F203" s="485"/>
      <c r="G203" s="485"/>
      <c r="H203" s="485"/>
      <c r="I203" s="486"/>
      <c r="J203" s="486">
        <v>0</v>
      </c>
      <c r="K203" s="485"/>
      <c r="L203" s="104" t="s">
        <v>119</v>
      </c>
      <c r="M203" s="630"/>
    </row>
    <row r="204" spans="1:13" s="25" customFormat="1" ht="24" customHeight="1" thickBot="1">
      <c r="A204" s="914"/>
      <c r="B204" s="915"/>
      <c r="C204" s="915"/>
      <c r="D204" s="909"/>
      <c r="E204" s="910"/>
      <c r="F204" s="485"/>
      <c r="G204" s="485"/>
      <c r="H204" s="485"/>
      <c r="I204" s="486"/>
      <c r="J204" s="486">
        <v>0</v>
      </c>
      <c r="K204" s="485"/>
      <c r="L204" s="104" t="s">
        <v>120</v>
      </c>
      <c r="M204" s="630"/>
    </row>
    <row r="205" spans="1:13" s="25" customFormat="1" ht="24" customHeight="1" thickBot="1">
      <c r="A205" s="914"/>
      <c r="B205" s="915"/>
      <c r="C205" s="915"/>
      <c r="D205" s="909"/>
      <c r="E205" s="910"/>
      <c r="F205" s="485"/>
      <c r="G205" s="485"/>
      <c r="H205" s="485"/>
      <c r="I205" s="486"/>
      <c r="J205" s="486">
        <v>0</v>
      </c>
      <c r="K205" s="485"/>
      <c r="L205" s="104" t="s">
        <v>106</v>
      </c>
      <c r="M205" s="630"/>
    </row>
    <row r="206" spans="1:13" s="25" customFormat="1" ht="24" customHeight="1" thickBot="1">
      <c r="A206" s="914"/>
      <c r="B206" s="915"/>
      <c r="C206" s="915"/>
      <c r="D206" s="909"/>
      <c r="E206" s="910"/>
      <c r="F206" s="485"/>
      <c r="G206" s="485"/>
      <c r="H206" s="485"/>
      <c r="I206" s="486"/>
      <c r="J206" s="486">
        <v>0</v>
      </c>
      <c r="K206" s="485"/>
      <c r="L206" s="104" t="s">
        <v>112</v>
      </c>
      <c r="M206" s="630"/>
    </row>
    <row r="207" spans="1:13" s="25" customFormat="1" ht="24.75" customHeight="1" thickBot="1">
      <c r="A207" s="914"/>
      <c r="B207" s="915"/>
      <c r="C207" s="915"/>
      <c r="D207" s="909"/>
      <c r="E207" s="910"/>
      <c r="F207" s="162"/>
      <c r="G207" s="162"/>
      <c r="H207" s="162"/>
      <c r="I207" s="163"/>
      <c r="J207" s="486">
        <v>0</v>
      </c>
      <c r="K207" s="162"/>
      <c r="L207" s="108" t="s">
        <v>113</v>
      </c>
      <c r="M207" s="630"/>
    </row>
    <row r="208" spans="1:13" s="25" customFormat="1" ht="33" customHeight="1" thickBot="1">
      <c r="A208" s="899" t="s">
        <v>122</v>
      </c>
      <c r="B208" s="900" t="s">
        <v>123</v>
      </c>
      <c r="C208" s="900"/>
      <c r="D208" s="164">
        <v>2017</v>
      </c>
      <c r="E208" s="47">
        <f aca="true" t="shared" si="31" ref="E208:E219">F208+G208+J208+K208</f>
        <v>169.78</v>
      </c>
      <c r="F208" s="47"/>
      <c r="G208" s="47">
        <f aca="true" t="shared" si="32" ref="G208:G217">H208+I208</f>
        <v>155.2</v>
      </c>
      <c r="H208" s="47"/>
      <c r="I208" s="47">
        <v>155.2</v>
      </c>
      <c r="J208" s="47">
        <f>15-0.42</f>
        <v>14.58</v>
      </c>
      <c r="K208" s="47"/>
      <c r="L208" s="165" t="s">
        <v>124</v>
      </c>
      <c r="M208" s="858" t="s">
        <v>125</v>
      </c>
    </row>
    <row r="209" spans="1:13" s="25" customFormat="1" ht="31.5" customHeight="1" thickBot="1">
      <c r="A209" s="899"/>
      <c r="B209" s="900"/>
      <c r="C209" s="900"/>
      <c r="D209" s="166">
        <v>2018</v>
      </c>
      <c r="E209" s="485">
        <f t="shared" si="31"/>
        <v>162.2</v>
      </c>
      <c r="F209" s="485"/>
      <c r="G209" s="485">
        <f t="shared" si="32"/>
        <v>162.2</v>
      </c>
      <c r="H209" s="485"/>
      <c r="I209" s="485">
        <v>162.2</v>
      </c>
      <c r="J209" s="486"/>
      <c r="K209" s="485"/>
      <c r="L209" s="104" t="s">
        <v>124</v>
      </c>
      <c r="M209" s="858"/>
    </row>
    <row r="210" spans="1:13" s="25" customFormat="1" ht="27.75" customHeight="1" thickBot="1">
      <c r="A210" s="899"/>
      <c r="B210" s="900"/>
      <c r="C210" s="900"/>
      <c r="D210" s="166">
        <v>2019</v>
      </c>
      <c r="E210" s="485">
        <f t="shared" si="31"/>
        <v>481.1</v>
      </c>
      <c r="F210" s="485"/>
      <c r="G210" s="485">
        <f t="shared" si="32"/>
        <v>481.1</v>
      </c>
      <c r="H210" s="485"/>
      <c r="I210" s="485">
        <v>481.1</v>
      </c>
      <c r="J210" s="486"/>
      <c r="K210" s="485"/>
      <c r="L210" s="104" t="s">
        <v>124</v>
      </c>
      <c r="M210" s="858"/>
    </row>
    <row r="211" spans="1:13" s="25" customFormat="1" ht="24" customHeight="1" thickBot="1">
      <c r="A211" s="899"/>
      <c r="B211" s="900"/>
      <c r="C211" s="900"/>
      <c r="D211" s="166">
        <v>2020</v>
      </c>
      <c r="E211" s="485">
        <f t="shared" si="31"/>
        <v>163.2</v>
      </c>
      <c r="F211" s="485"/>
      <c r="G211" s="485">
        <f t="shared" si="32"/>
        <v>163.2</v>
      </c>
      <c r="H211" s="485"/>
      <c r="I211" s="485">
        <v>163.2</v>
      </c>
      <c r="J211" s="486"/>
      <c r="K211" s="485"/>
      <c r="L211" s="104" t="s">
        <v>124</v>
      </c>
      <c r="M211" s="858"/>
    </row>
    <row r="212" spans="1:13" s="25" customFormat="1" ht="24.75" customHeight="1" thickBot="1">
      <c r="A212" s="899"/>
      <c r="B212" s="900"/>
      <c r="C212" s="900"/>
      <c r="D212" s="166">
        <v>2021</v>
      </c>
      <c r="E212" s="485">
        <f t="shared" si="31"/>
        <v>0</v>
      </c>
      <c r="F212" s="485"/>
      <c r="G212" s="485">
        <f t="shared" si="32"/>
        <v>0</v>
      </c>
      <c r="H212" s="485"/>
      <c r="I212" s="485">
        <v>0</v>
      </c>
      <c r="J212" s="486"/>
      <c r="K212" s="485"/>
      <c r="L212" s="104" t="s">
        <v>124</v>
      </c>
      <c r="M212" s="858"/>
    </row>
    <row r="213" spans="1:13" s="25" customFormat="1" ht="46.5" customHeight="1" thickBot="1">
      <c r="A213" s="899"/>
      <c r="B213" s="900"/>
      <c r="C213" s="900"/>
      <c r="D213" s="464">
        <v>2022</v>
      </c>
      <c r="E213" s="485">
        <f t="shared" si="31"/>
        <v>0</v>
      </c>
      <c r="F213" s="485"/>
      <c r="G213" s="485">
        <f t="shared" si="32"/>
        <v>0</v>
      </c>
      <c r="H213" s="485"/>
      <c r="I213" s="485">
        <v>0</v>
      </c>
      <c r="J213" s="486"/>
      <c r="K213" s="485"/>
      <c r="L213" s="104" t="s">
        <v>124</v>
      </c>
      <c r="M213" s="858"/>
    </row>
    <row r="214" spans="1:13" s="25" customFormat="1" ht="30" customHeight="1" thickBot="1">
      <c r="A214" s="899"/>
      <c r="B214" s="900"/>
      <c r="C214" s="900"/>
      <c r="D214" s="167">
        <v>2023</v>
      </c>
      <c r="E214" s="96">
        <f t="shared" si="31"/>
        <v>0</v>
      </c>
      <c r="F214" s="96"/>
      <c r="G214" s="96">
        <f t="shared" si="32"/>
        <v>0</v>
      </c>
      <c r="H214" s="96"/>
      <c r="I214" s="96">
        <v>0</v>
      </c>
      <c r="J214" s="168"/>
      <c r="K214" s="96"/>
      <c r="L214" s="104" t="s">
        <v>124</v>
      </c>
      <c r="M214" s="630"/>
    </row>
    <row r="215" spans="1:13" s="25" customFormat="1" ht="63.75" customHeight="1" thickBot="1">
      <c r="A215" s="633" t="s">
        <v>126</v>
      </c>
      <c r="B215" s="900" t="s">
        <v>127</v>
      </c>
      <c r="C215" s="900"/>
      <c r="D215" s="169">
        <v>2019</v>
      </c>
      <c r="E215" s="160">
        <f t="shared" si="31"/>
        <v>96.58</v>
      </c>
      <c r="F215" s="160"/>
      <c r="G215" s="160">
        <f t="shared" si="32"/>
        <v>0</v>
      </c>
      <c r="H215" s="160"/>
      <c r="I215" s="160"/>
      <c r="J215" s="160">
        <v>96.58</v>
      </c>
      <c r="K215" s="160"/>
      <c r="L215" s="170" t="s">
        <v>128</v>
      </c>
      <c r="M215" s="630"/>
    </row>
    <row r="216" spans="1:13" s="25" customFormat="1" ht="78.75" customHeight="1" thickBot="1">
      <c r="A216" s="634" t="s">
        <v>129</v>
      </c>
      <c r="B216" s="901" t="s">
        <v>130</v>
      </c>
      <c r="C216" s="901"/>
      <c r="D216" s="492">
        <v>2017</v>
      </c>
      <c r="E216" s="171">
        <f t="shared" si="31"/>
        <v>2375.768</v>
      </c>
      <c r="F216" s="171"/>
      <c r="G216" s="171">
        <f t="shared" si="32"/>
        <v>0</v>
      </c>
      <c r="H216" s="493"/>
      <c r="I216" s="493"/>
      <c r="J216" s="171">
        <v>2375.768</v>
      </c>
      <c r="K216" s="171"/>
      <c r="L216" s="172" t="s">
        <v>131</v>
      </c>
      <c r="M216" s="635" t="s">
        <v>132</v>
      </c>
    </row>
    <row r="217" spans="1:13" s="173" customFormat="1" ht="46.5" customHeight="1">
      <c r="A217" s="502" t="s">
        <v>133</v>
      </c>
      <c r="B217" s="902" t="s">
        <v>134</v>
      </c>
      <c r="C217" s="902"/>
      <c r="D217" s="503">
        <v>2019</v>
      </c>
      <c r="E217" s="504">
        <f t="shared" si="31"/>
        <v>330</v>
      </c>
      <c r="F217" s="504"/>
      <c r="G217" s="504">
        <f t="shared" si="32"/>
        <v>0</v>
      </c>
      <c r="H217" s="504">
        <v>0</v>
      </c>
      <c r="I217" s="504">
        <v>0</v>
      </c>
      <c r="J217" s="504">
        <f>330.278-0.278</f>
        <v>330</v>
      </c>
      <c r="K217" s="504"/>
      <c r="L217" s="505" t="s">
        <v>135</v>
      </c>
      <c r="M217" s="506"/>
    </row>
    <row r="218" spans="1:13" s="35" customFormat="1" ht="38.25" customHeight="1" hidden="1">
      <c r="A218" s="507" t="s">
        <v>129</v>
      </c>
      <c r="B218" s="903"/>
      <c r="C218" s="903"/>
      <c r="D218" s="456"/>
      <c r="E218" s="499">
        <f t="shared" si="31"/>
        <v>0</v>
      </c>
      <c r="F218" s="499"/>
      <c r="G218" s="500"/>
      <c r="H218" s="500"/>
      <c r="I218" s="500"/>
      <c r="J218" s="500"/>
      <c r="K218" s="499"/>
      <c r="L218" s="501"/>
      <c r="M218" s="508"/>
    </row>
    <row r="219" spans="1:13" s="35" customFormat="1" ht="38.25" customHeight="1" thickBot="1">
      <c r="A219" s="509"/>
      <c r="B219" s="904"/>
      <c r="C219" s="904"/>
      <c r="D219" s="510">
        <v>2021</v>
      </c>
      <c r="E219" s="511">
        <f t="shared" si="31"/>
        <v>200</v>
      </c>
      <c r="F219" s="511"/>
      <c r="G219" s="512">
        <v>0</v>
      </c>
      <c r="H219" s="512">
        <v>0</v>
      </c>
      <c r="I219" s="512">
        <v>0</v>
      </c>
      <c r="J219" s="512">
        <v>200</v>
      </c>
      <c r="K219" s="511"/>
      <c r="L219" s="513" t="s">
        <v>358</v>
      </c>
      <c r="M219" s="514"/>
    </row>
    <row r="220" spans="1:13" s="35" customFormat="1" ht="91.5" customHeight="1" thickBot="1">
      <c r="A220" s="636" t="s">
        <v>136</v>
      </c>
      <c r="B220" s="884" t="s">
        <v>137</v>
      </c>
      <c r="C220" s="884"/>
      <c r="D220" s="494">
        <v>2019</v>
      </c>
      <c r="E220" s="495">
        <f>F220+G220+J220+K220</f>
        <v>80.293</v>
      </c>
      <c r="F220" s="496"/>
      <c r="G220" s="497">
        <f aca="true" t="shared" si="33" ref="G220:G230">H220+I220</f>
        <v>0</v>
      </c>
      <c r="H220" s="497">
        <v>0</v>
      </c>
      <c r="I220" s="497">
        <v>0</v>
      </c>
      <c r="J220" s="497">
        <f>19+61.293</f>
        <v>80.293</v>
      </c>
      <c r="K220" s="496">
        <v>0</v>
      </c>
      <c r="L220" s="583" t="s">
        <v>63</v>
      </c>
      <c r="M220" s="637" t="s">
        <v>138</v>
      </c>
    </row>
    <row r="221" spans="1:13" s="35" customFormat="1" ht="312" customHeight="1" thickBot="1">
      <c r="A221" s="638" t="s">
        <v>139</v>
      </c>
      <c r="B221" s="885" t="s">
        <v>140</v>
      </c>
      <c r="C221" s="885"/>
      <c r="D221" s="177">
        <v>2019</v>
      </c>
      <c r="E221" s="176">
        <f>F221+G221+J221+K221</f>
        <v>0</v>
      </c>
      <c r="F221" s="175"/>
      <c r="G221" s="176">
        <f t="shared" si="33"/>
        <v>0</v>
      </c>
      <c r="H221" s="176">
        <v>0</v>
      </c>
      <c r="I221" s="176">
        <v>0</v>
      </c>
      <c r="J221" s="176">
        <v>0</v>
      </c>
      <c r="K221" s="175">
        <v>0</v>
      </c>
      <c r="L221" s="178" t="s">
        <v>141</v>
      </c>
      <c r="M221" s="639" t="s">
        <v>142</v>
      </c>
    </row>
    <row r="222" spans="1:13" s="35" customFormat="1" ht="31.5" customHeight="1" thickBot="1">
      <c r="A222" s="886" t="s">
        <v>143</v>
      </c>
      <c r="B222" s="887" t="s">
        <v>144</v>
      </c>
      <c r="C222" s="887"/>
      <c r="D222" s="179">
        <v>2020</v>
      </c>
      <c r="E222" s="175">
        <f>SUM(E223:E232)</f>
        <v>3195.08</v>
      </c>
      <c r="F222" s="175">
        <f>SUM(F223:F232)</f>
        <v>0</v>
      </c>
      <c r="G222" s="175">
        <f t="shared" si="33"/>
        <v>956</v>
      </c>
      <c r="H222" s="175">
        <f>SUM(H223:H232)</f>
        <v>0</v>
      </c>
      <c r="I222" s="175">
        <f>SUM(I223:I232)</f>
        <v>956</v>
      </c>
      <c r="J222" s="175">
        <f>SUM(J223:J232)</f>
        <v>2239.0800000000004</v>
      </c>
      <c r="K222" s="175">
        <f>SUM(K223:K232)</f>
        <v>0</v>
      </c>
      <c r="L222" s="178"/>
      <c r="M222" s="639"/>
    </row>
    <row r="223" spans="1:13" s="35" customFormat="1" ht="35.25" customHeight="1" thickBot="1">
      <c r="A223" s="886"/>
      <c r="B223" s="887"/>
      <c r="C223" s="887"/>
      <c r="D223" s="180" t="s">
        <v>145</v>
      </c>
      <c r="E223" s="58">
        <f aca="true" t="shared" si="34" ref="E223:E230">F223+G223+J223+K223</f>
        <v>686.374</v>
      </c>
      <c r="F223" s="174"/>
      <c r="G223" s="181">
        <f t="shared" si="33"/>
        <v>0</v>
      </c>
      <c r="H223" s="69"/>
      <c r="I223" s="69">
        <v>0</v>
      </c>
      <c r="J223" s="69">
        <f>773.274-86.9</f>
        <v>686.374</v>
      </c>
      <c r="K223" s="174"/>
      <c r="L223" s="182" t="s">
        <v>146</v>
      </c>
      <c r="M223" s="771" t="s">
        <v>147</v>
      </c>
    </row>
    <row r="224" spans="1:13" s="35" customFormat="1" ht="36" customHeight="1" thickBot="1">
      <c r="A224" s="886"/>
      <c r="B224" s="887"/>
      <c r="C224" s="887"/>
      <c r="D224" s="55" t="s">
        <v>145</v>
      </c>
      <c r="E224" s="58">
        <f t="shared" si="34"/>
        <v>668.4</v>
      </c>
      <c r="F224" s="481"/>
      <c r="G224" s="482">
        <f t="shared" si="33"/>
        <v>581.5</v>
      </c>
      <c r="H224" s="482"/>
      <c r="I224" s="482">
        <v>581.5</v>
      </c>
      <c r="J224" s="482">
        <v>86.9</v>
      </c>
      <c r="K224" s="481"/>
      <c r="L224" s="183" t="s">
        <v>148</v>
      </c>
      <c r="M224" s="771"/>
    </row>
    <row r="225" spans="1:13" s="35" customFormat="1" ht="31.5" customHeight="1" thickBot="1">
      <c r="A225" s="886"/>
      <c r="B225" s="887"/>
      <c r="C225" s="887"/>
      <c r="D225" s="55" t="s">
        <v>149</v>
      </c>
      <c r="E225" s="58">
        <f t="shared" si="34"/>
        <v>958.006</v>
      </c>
      <c r="F225" s="481"/>
      <c r="G225" s="482">
        <f t="shared" si="33"/>
        <v>0</v>
      </c>
      <c r="H225" s="482"/>
      <c r="I225" s="482">
        <v>0</v>
      </c>
      <c r="J225" s="482">
        <f>1014.006-56</f>
        <v>958.006</v>
      </c>
      <c r="K225" s="481"/>
      <c r="L225" s="182" t="s">
        <v>150</v>
      </c>
      <c r="M225" s="771"/>
    </row>
    <row r="226" spans="1:13" s="35" customFormat="1" ht="31.5" customHeight="1" thickBot="1">
      <c r="A226" s="886"/>
      <c r="B226" s="887"/>
      <c r="C226" s="887"/>
      <c r="D226" s="180" t="s">
        <v>149</v>
      </c>
      <c r="E226" s="58">
        <f t="shared" si="34"/>
        <v>430.5</v>
      </c>
      <c r="F226" s="56"/>
      <c r="G226" s="482">
        <f t="shared" si="33"/>
        <v>374.5</v>
      </c>
      <c r="H226" s="181"/>
      <c r="I226" s="181">
        <v>374.5</v>
      </c>
      <c r="J226" s="181">
        <v>56</v>
      </c>
      <c r="K226" s="56"/>
      <c r="L226" s="183" t="s">
        <v>151</v>
      </c>
      <c r="M226" s="771"/>
    </row>
    <row r="227" spans="1:13" s="35" customFormat="1" ht="31.5" customHeight="1" thickBot="1">
      <c r="A227" s="886"/>
      <c r="B227" s="887"/>
      <c r="C227" s="887"/>
      <c r="D227" s="55" t="s">
        <v>152</v>
      </c>
      <c r="E227" s="58">
        <f t="shared" si="34"/>
        <v>0</v>
      </c>
      <c r="F227" s="481"/>
      <c r="G227" s="482">
        <f t="shared" si="33"/>
        <v>0</v>
      </c>
      <c r="H227" s="482"/>
      <c r="I227" s="482">
        <v>0</v>
      </c>
      <c r="J227" s="482">
        <v>0</v>
      </c>
      <c r="K227" s="481"/>
      <c r="L227" s="183" t="s">
        <v>153</v>
      </c>
      <c r="M227" s="771"/>
    </row>
    <row r="228" spans="1:13" s="35" customFormat="1" ht="31.5" customHeight="1" thickBot="1">
      <c r="A228" s="886"/>
      <c r="B228" s="887"/>
      <c r="C228" s="887"/>
      <c r="D228" s="55" t="s">
        <v>154</v>
      </c>
      <c r="E228" s="58">
        <f t="shared" si="34"/>
        <v>0</v>
      </c>
      <c r="F228" s="481"/>
      <c r="G228" s="482">
        <f t="shared" si="33"/>
        <v>0</v>
      </c>
      <c r="H228" s="482"/>
      <c r="I228" s="482">
        <v>0</v>
      </c>
      <c r="J228" s="482">
        <v>0</v>
      </c>
      <c r="K228" s="481"/>
      <c r="L228" s="183" t="s">
        <v>155</v>
      </c>
      <c r="M228" s="771"/>
    </row>
    <row r="229" spans="1:13" s="35" customFormat="1" ht="36" customHeight="1" thickBot="1">
      <c r="A229" s="886"/>
      <c r="B229" s="887"/>
      <c r="C229" s="887"/>
      <c r="D229" s="55" t="s">
        <v>156</v>
      </c>
      <c r="E229" s="58">
        <f t="shared" si="34"/>
        <v>0</v>
      </c>
      <c r="F229" s="481"/>
      <c r="G229" s="482">
        <f t="shared" si="33"/>
        <v>0</v>
      </c>
      <c r="H229" s="482"/>
      <c r="I229" s="482">
        <v>0</v>
      </c>
      <c r="J229" s="482">
        <v>0</v>
      </c>
      <c r="K229" s="481"/>
      <c r="L229" s="183" t="s">
        <v>157</v>
      </c>
      <c r="M229" s="771"/>
    </row>
    <row r="230" spans="1:13" s="35" customFormat="1" ht="36" customHeight="1" thickBot="1">
      <c r="A230" s="886"/>
      <c r="B230" s="887"/>
      <c r="C230" s="887"/>
      <c r="D230" s="184" t="s">
        <v>158</v>
      </c>
      <c r="E230" s="58">
        <f t="shared" si="34"/>
        <v>148.2</v>
      </c>
      <c r="F230" s="59"/>
      <c r="G230" s="482">
        <f t="shared" si="33"/>
        <v>0</v>
      </c>
      <c r="H230" s="58"/>
      <c r="I230" s="482">
        <v>0</v>
      </c>
      <c r="J230" s="482">
        <v>148.2</v>
      </c>
      <c r="K230" s="59"/>
      <c r="L230" s="185" t="s">
        <v>159</v>
      </c>
      <c r="M230" s="771"/>
    </row>
    <row r="231" spans="1:13" s="35" customFormat="1" ht="36" customHeight="1" thickBot="1">
      <c r="A231" s="886"/>
      <c r="B231" s="887"/>
      <c r="C231" s="887"/>
      <c r="D231" s="34">
        <v>2021</v>
      </c>
      <c r="E231" s="59">
        <f>F231+G231+J231+K231</f>
        <v>151.8</v>
      </c>
      <c r="F231" s="59"/>
      <c r="G231" s="481">
        <f>H231+I231</f>
        <v>0</v>
      </c>
      <c r="H231" s="59"/>
      <c r="I231" s="481">
        <v>0</v>
      </c>
      <c r="J231" s="481">
        <f>J232</f>
        <v>151.8</v>
      </c>
      <c r="K231" s="59"/>
      <c r="L231" s="186"/>
      <c r="M231" s="771"/>
    </row>
    <row r="232" spans="1:13" s="35" customFormat="1" ht="31.5" customHeight="1" thickBot="1">
      <c r="A232" s="886"/>
      <c r="B232" s="887"/>
      <c r="C232" s="887"/>
      <c r="D232" s="187"/>
      <c r="E232" s="58">
        <f>J232+I232+G232</f>
        <v>151.8</v>
      </c>
      <c r="F232" s="60"/>
      <c r="G232" s="482">
        <v>0</v>
      </c>
      <c r="H232" s="58"/>
      <c r="I232" s="482">
        <v>0</v>
      </c>
      <c r="J232" s="60">
        <f>114.4+37.4</f>
        <v>151.8</v>
      </c>
      <c r="K232" s="61"/>
      <c r="L232" s="640" t="s">
        <v>63</v>
      </c>
      <c r="M232" s="771"/>
    </row>
    <row r="233" spans="1:13" s="35" customFormat="1" ht="34.5" customHeight="1" thickBot="1">
      <c r="A233" s="875"/>
      <c r="B233" s="876" t="s">
        <v>160</v>
      </c>
      <c r="C233" s="876"/>
      <c r="D233" s="188">
        <v>2017</v>
      </c>
      <c r="E233" s="51">
        <f aca="true" t="shared" si="35" ref="E233:K233">E57+E80+E86+E94+E101+E109+E114+E208+E216</f>
        <v>3516.342</v>
      </c>
      <c r="F233" s="51">
        <f t="shared" si="35"/>
        <v>0</v>
      </c>
      <c r="G233" s="51">
        <f t="shared" si="35"/>
        <v>205.2</v>
      </c>
      <c r="H233" s="51">
        <f t="shared" si="35"/>
        <v>0</v>
      </c>
      <c r="I233" s="51">
        <f t="shared" si="35"/>
        <v>205.2</v>
      </c>
      <c r="J233" s="51">
        <f t="shared" si="35"/>
        <v>3311.142</v>
      </c>
      <c r="K233" s="51">
        <f t="shared" si="35"/>
        <v>0</v>
      </c>
      <c r="L233" s="189"/>
      <c r="M233" s="877"/>
    </row>
    <row r="234" spans="1:13" s="35" customFormat="1" ht="32.25" customHeight="1" thickBot="1">
      <c r="A234" s="875"/>
      <c r="B234" s="876"/>
      <c r="C234" s="876"/>
      <c r="D234" s="190">
        <v>2018</v>
      </c>
      <c r="E234" s="481">
        <f aca="true" t="shared" si="36" ref="E234:K234">E58+E81+E87+E95+E103+E110+E121+E209</f>
        <v>3449.7360099999996</v>
      </c>
      <c r="F234" s="481">
        <f t="shared" si="36"/>
        <v>0</v>
      </c>
      <c r="G234" s="481">
        <f t="shared" si="36"/>
        <v>162.2</v>
      </c>
      <c r="H234" s="481">
        <f t="shared" si="36"/>
        <v>0</v>
      </c>
      <c r="I234" s="481">
        <f t="shared" si="36"/>
        <v>162.2</v>
      </c>
      <c r="J234" s="481">
        <f t="shared" si="36"/>
        <v>3287.53601</v>
      </c>
      <c r="K234" s="481">
        <f t="shared" si="36"/>
        <v>0</v>
      </c>
      <c r="L234" s="191"/>
      <c r="M234" s="877"/>
    </row>
    <row r="235" spans="1:13" s="35" customFormat="1" ht="32.25" customHeight="1" thickBot="1">
      <c r="A235" s="875"/>
      <c r="B235" s="876"/>
      <c r="C235" s="876"/>
      <c r="D235" s="190">
        <v>2019</v>
      </c>
      <c r="E235" s="481">
        <f aca="true" t="shared" si="37" ref="E235:K235">E59+E82+E89+E96+E104+E111+E129+E169+E210+E215+E217+E220+E221</f>
        <v>1852.0430000000001</v>
      </c>
      <c r="F235" s="481">
        <f t="shared" si="37"/>
        <v>0</v>
      </c>
      <c r="G235" s="481">
        <f t="shared" si="37"/>
        <v>531.1</v>
      </c>
      <c r="H235" s="481">
        <f t="shared" si="37"/>
        <v>0</v>
      </c>
      <c r="I235" s="481">
        <f t="shared" si="37"/>
        <v>531.1</v>
      </c>
      <c r="J235" s="481">
        <f t="shared" si="37"/>
        <v>1320.9430000000002</v>
      </c>
      <c r="K235" s="481">
        <f t="shared" si="37"/>
        <v>0</v>
      </c>
      <c r="L235" s="192"/>
      <c r="M235" s="877"/>
    </row>
    <row r="236" spans="1:13" s="35" customFormat="1" ht="32.25" customHeight="1" thickBot="1">
      <c r="A236" s="875"/>
      <c r="B236" s="876"/>
      <c r="C236" s="876"/>
      <c r="D236" s="190">
        <v>2020</v>
      </c>
      <c r="E236" s="481">
        <f aca="true" t="shared" si="38" ref="E236:K236">E60+E83+E90+E97+E105+E112+E137+E176+E211+E45+E222+E54</f>
        <v>5084.94</v>
      </c>
      <c r="F236" s="481">
        <f t="shared" si="38"/>
        <v>0</v>
      </c>
      <c r="G236" s="481">
        <f t="shared" si="38"/>
        <v>2236.2</v>
      </c>
      <c r="H236" s="481">
        <f t="shared" si="38"/>
        <v>1094.7</v>
      </c>
      <c r="I236" s="481">
        <f t="shared" si="38"/>
        <v>1141.5</v>
      </c>
      <c r="J236" s="481">
        <f t="shared" si="38"/>
        <v>2848.7400000000002</v>
      </c>
      <c r="K236" s="481">
        <f t="shared" si="38"/>
        <v>0</v>
      </c>
      <c r="L236" s="191"/>
      <c r="M236" s="877"/>
    </row>
    <row r="237" spans="1:13" s="35" customFormat="1" ht="32.25" customHeight="1" thickBot="1">
      <c r="A237" s="875"/>
      <c r="B237" s="876"/>
      <c r="C237" s="876"/>
      <c r="D237" s="193">
        <v>2021</v>
      </c>
      <c r="E237" s="481">
        <f>E46+E55+E61+E84+E91+E98+E106+E113+E145+E184+E212+E231+E219</f>
        <v>7947.112</v>
      </c>
      <c r="F237" s="481">
        <f>F46+F55+F61+F84+F91+F98+F106+F113+F145+F184+F212</f>
        <v>0</v>
      </c>
      <c r="G237" s="481">
        <f>G46+G55+G61+G84+G91+G98+G106+G113+G145+G184+G212</f>
        <v>6662.900000000001</v>
      </c>
      <c r="H237" s="481">
        <f>H46+H55+H61+H84+H91+H98+H106+H113+H145+H184+H212</f>
        <v>6529.5</v>
      </c>
      <c r="I237" s="481">
        <f>I46+I55+I61+I84+I91+I98+I106+I113+I145+I184+I212</f>
        <v>133.4</v>
      </c>
      <c r="J237" s="481">
        <f>J46+J55+J61+J84+J91+J98+J106+J113+J145+J184+J212+J231+J219</f>
        <v>1284.212</v>
      </c>
      <c r="K237" s="481">
        <f>K46+K55+K61+K84+K91+K98+K106+K113+K145+K184+K212</f>
        <v>0</v>
      </c>
      <c r="L237" s="191"/>
      <c r="M237" s="877"/>
    </row>
    <row r="238" spans="1:13" s="35" customFormat="1" ht="29.25" customHeight="1" thickBot="1">
      <c r="A238" s="875"/>
      <c r="B238" s="876"/>
      <c r="C238" s="876"/>
      <c r="D238" s="193">
        <v>2022</v>
      </c>
      <c r="E238" s="481">
        <f aca="true" t="shared" si="39" ref="E238:J238">E47+E62+E85+E92+E99+E107+E154+E192+E213+E78</f>
        <v>1376.8500000000001</v>
      </c>
      <c r="F238" s="481">
        <f t="shared" si="39"/>
        <v>0</v>
      </c>
      <c r="G238" s="481">
        <f t="shared" si="39"/>
        <v>650</v>
      </c>
      <c r="H238" s="481">
        <f t="shared" si="39"/>
        <v>637</v>
      </c>
      <c r="I238" s="481">
        <f t="shared" si="39"/>
        <v>13</v>
      </c>
      <c r="J238" s="481">
        <f t="shared" si="39"/>
        <v>726.85</v>
      </c>
      <c r="K238" s="481">
        <f>K47+K62+K85+K92+K99+K107+K154+K192+K213</f>
        <v>0</v>
      </c>
      <c r="L238" s="191"/>
      <c r="M238" s="877"/>
    </row>
    <row r="239" spans="1:13" s="35" customFormat="1" ht="29.25" customHeight="1" thickBot="1">
      <c r="A239" s="875"/>
      <c r="B239" s="876"/>
      <c r="C239" s="876"/>
      <c r="D239" s="517">
        <v>2023</v>
      </c>
      <c r="E239" s="59">
        <v>0</v>
      </c>
      <c r="F239" s="59">
        <v>0</v>
      </c>
      <c r="G239" s="59">
        <v>0</v>
      </c>
      <c r="H239" s="59">
        <v>0</v>
      </c>
      <c r="I239" s="59">
        <v>0</v>
      </c>
      <c r="J239" s="59">
        <v>0</v>
      </c>
      <c r="K239" s="59">
        <v>0</v>
      </c>
      <c r="L239" s="518"/>
      <c r="M239" s="877"/>
    </row>
    <row r="240" spans="1:13" s="35" customFormat="1" ht="29.25" customHeight="1" thickBot="1">
      <c r="A240" s="875"/>
      <c r="B240" s="876"/>
      <c r="C240" s="876"/>
      <c r="D240" s="383">
        <v>2024</v>
      </c>
      <c r="E240" s="61">
        <f aca="true" t="shared" si="40" ref="E240:K240">E214+E200+E162+E108+E100+E93+E79+E63+E48</f>
        <v>0</v>
      </c>
      <c r="F240" s="61">
        <f t="shared" si="40"/>
        <v>0</v>
      </c>
      <c r="G240" s="61">
        <f t="shared" si="40"/>
        <v>0</v>
      </c>
      <c r="H240" s="61">
        <f t="shared" si="40"/>
        <v>0</v>
      </c>
      <c r="I240" s="61">
        <f t="shared" si="40"/>
        <v>0</v>
      </c>
      <c r="J240" s="61">
        <f t="shared" si="40"/>
        <v>0</v>
      </c>
      <c r="K240" s="61">
        <f t="shared" si="40"/>
        <v>0</v>
      </c>
      <c r="L240" s="384"/>
      <c r="M240" s="877"/>
    </row>
    <row r="241" spans="1:13" s="35" customFormat="1" ht="29.25" customHeight="1">
      <c r="A241" s="878" t="s">
        <v>161</v>
      </c>
      <c r="B241" s="879"/>
      <c r="C241" s="879"/>
      <c r="D241" s="879"/>
      <c r="E241" s="879"/>
      <c r="F241" s="879"/>
      <c r="G241" s="879"/>
      <c r="H241" s="879"/>
      <c r="I241" s="879"/>
      <c r="J241" s="879"/>
      <c r="K241" s="879"/>
      <c r="L241" s="879"/>
      <c r="M241" s="880"/>
    </row>
    <row r="242" spans="1:13" s="35" customFormat="1" ht="43.5" customHeight="1">
      <c r="A242" s="881" t="s">
        <v>162</v>
      </c>
      <c r="B242" s="882"/>
      <c r="C242" s="882"/>
      <c r="D242" s="882"/>
      <c r="E242" s="882"/>
      <c r="F242" s="882"/>
      <c r="G242" s="882"/>
      <c r="H242" s="882"/>
      <c r="I242" s="882"/>
      <c r="J242" s="882"/>
      <c r="K242" s="882"/>
      <c r="L242" s="882"/>
      <c r="M242" s="883"/>
    </row>
    <row r="243" spans="1:18" s="25" customFormat="1" ht="106.5" customHeight="1">
      <c r="A243" s="870" t="s">
        <v>163</v>
      </c>
      <c r="B243" s="871"/>
      <c r="C243" s="871"/>
      <c r="D243" s="871"/>
      <c r="E243" s="871"/>
      <c r="F243" s="871"/>
      <c r="G243" s="871"/>
      <c r="H243" s="871"/>
      <c r="I243" s="871"/>
      <c r="J243" s="871"/>
      <c r="K243" s="871"/>
      <c r="L243" s="871"/>
      <c r="M243" s="872"/>
      <c r="R243" s="337"/>
    </row>
    <row r="244" spans="1:13" s="25" customFormat="1" ht="27" customHeight="1">
      <c r="A244" s="870" t="s">
        <v>164</v>
      </c>
      <c r="B244" s="871"/>
      <c r="C244" s="871"/>
      <c r="D244" s="871"/>
      <c r="E244" s="871"/>
      <c r="F244" s="871"/>
      <c r="G244" s="871"/>
      <c r="H244" s="871"/>
      <c r="I244" s="871"/>
      <c r="J244" s="871"/>
      <c r="K244" s="871"/>
      <c r="L244" s="871"/>
      <c r="M244" s="872"/>
    </row>
    <row r="245" spans="1:13" s="25" customFormat="1" ht="37.5" customHeight="1">
      <c r="A245" s="761" t="s">
        <v>165</v>
      </c>
      <c r="B245" s="762" t="s">
        <v>166</v>
      </c>
      <c r="C245" s="23" t="s">
        <v>167</v>
      </c>
      <c r="D245" s="487">
        <v>2017</v>
      </c>
      <c r="E245" s="490">
        <f>F245+G245+J245+K245</f>
        <v>15500.856</v>
      </c>
      <c r="F245" s="194"/>
      <c r="G245" s="490">
        <f aca="true" t="shared" si="41" ref="G245:G262">H245+I245</f>
        <v>0</v>
      </c>
      <c r="H245" s="490"/>
      <c r="I245" s="490"/>
      <c r="J245" s="490">
        <f>J341+J342+J343+J344+J345+J347</f>
        <v>15500.856</v>
      </c>
      <c r="K245" s="194">
        <v>0</v>
      </c>
      <c r="L245" s="473" t="s">
        <v>168</v>
      </c>
      <c r="M245" s="840" t="s">
        <v>169</v>
      </c>
    </row>
    <row r="246" spans="1:13" s="25" customFormat="1" ht="37.5" customHeight="1">
      <c r="A246" s="761"/>
      <c r="B246" s="762"/>
      <c r="C246" s="463" t="s">
        <v>170</v>
      </c>
      <c r="D246" s="195"/>
      <c r="E246" s="490">
        <f>F246+G246+J246+K246</f>
        <v>10933.428</v>
      </c>
      <c r="F246" s="194"/>
      <c r="G246" s="490">
        <f t="shared" si="41"/>
        <v>0</v>
      </c>
      <c r="H246" s="490"/>
      <c r="I246" s="490"/>
      <c r="J246" s="490">
        <f>J346</f>
        <v>10933.428</v>
      </c>
      <c r="K246" s="194">
        <v>0</v>
      </c>
      <c r="L246" s="473" t="s">
        <v>171</v>
      </c>
      <c r="M246" s="840"/>
    </row>
    <row r="247" spans="1:13" s="25" customFormat="1" ht="37.5" customHeight="1">
      <c r="A247" s="761"/>
      <c r="B247" s="762"/>
      <c r="C247" s="23" t="s">
        <v>167</v>
      </c>
      <c r="D247" s="487">
        <v>2018</v>
      </c>
      <c r="E247" s="490">
        <f>F247+G247+J247+K247</f>
        <v>28543.359</v>
      </c>
      <c r="F247" s="490"/>
      <c r="G247" s="490">
        <f t="shared" si="41"/>
        <v>0</v>
      </c>
      <c r="H247" s="490">
        <v>0</v>
      </c>
      <c r="I247" s="490">
        <v>0</v>
      </c>
      <c r="J247" s="490">
        <f>SUM(J248:J261)</f>
        <v>28543.359</v>
      </c>
      <c r="K247" s="490">
        <v>0</v>
      </c>
      <c r="L247" s="473"/>
      <c r="M247" s="840"/>
    </row>
    <row r="248" spans="1:13" s="25" customFormat="1" ht="24.75" customHeight="1">
      <c r="A248" s="761"/>
      <c r="B248" s="762"/>
      <c r="C248" s="23" t="s">
        <v>172</v>
      </c>
      <c r="D248" s="487"/>
      <c r="E248" s="490"/>
      <c r="F248" s="194"/>
      <c r="G248" s="194">
        <f t="shared" si="41"/>
        <v>0</v>
      </c>
      <c r="H248" s="194"/>
      <c r="I248" s="194"/>
      <c r="J248" s="194">
        <f>105.997+1553.242+30.82212-90.152</f>
        <v>1599.90912</v>
      </c>
      <c r="K248" s="194">
        <v>0</v>
      </c>
      <c r="L248" s="873" t="s">
        <v>171</v>
      </c>
      <c r="M248" s="840"/>
    </row>
    <row r="249" spans="1:13" s="25" customFormat="1" ht="24.75" customHeight="1">
      <c r="A249" s="761"/>
      <c r="B249" s="762"/>
      <c r="C249" s="23" t="s">
        <v>173</v>
      </c>
      <c r="D249" s="487"/>
      <c r="E249" s="490"/>
      <c r="F249" s="194"/>
      <c r="G249" s="194">
        <f t="shared" si="41"/>
        <v>0</v>
      </c>
      <c r="H249" s="194"/>
      <c r="I249" s="194"/>
      <c r="J249" s="196">
        <f>2647.00046-137.31778-3.0355</f>
        <v>2506.6471800000004</v>
      </c>
      <c r="K249" s="194">
        <v>0</v>
      </c>
      <c r="L249" s="873"/>
      <c r="M249" s="840"/>
    </row>
    <row r="250" spans="1:13" s="25" customFormat="1" ht="24.75" customHeight="1">
      <c r="A250" s="761"/>
      <c r="B250" s="762"/>
      <c r="C250" s="23" t="s">
        <v>174</v>
      </c>
      <c r="D250" s="487"/>
      <c r="E250" s="490"/>
      <c r="F250" s="194"/>
      <c r="G250" s="194">
        <f t="shared" si="41"/>
        <v>0</v>
      </c>
      <c r="H250" s="194"/>
      <c r="I250" s="194"/>
      <c r="J250" s="194">
        <f>19000-4993.27603+73.22078+64.097-230.15863</f>
        <v>13913.883119999999</v>
      </c>
      <c r="K250" s="194">
        <v>0</v>
      </c>
      <c r="L250" s="873"/>
      <c r="M250" s="840"/>
    </row>
    <row r="251" spans="1:13" s="25" customFormat="1" ht="24.75" customHeight="1">
      <c r="A251" s="761"/>
      <c r="B251" s="762"/>
      <c r="C251" s="23" t="s">
        <v>175</v>
      </c>
      <c r="D251" s="487"/>
      <c r="E251" s="490"/>
      <c r="F251" s="194"/>
      <c r="G251" s="194">
        <f t="shared" si="41"/>
        <v>0</v>
      </c>
      <c r="H251" s="194"/>
      <c r="I251" s="194"/>
      <c r="J251" s="194">
        <f>620.082-142.882</f>
        <v>477.2</v>
      </c>
      <c r="K251" s="194">
        <v>0</v>
      </c>
      <c r="L251" s="873"/>
      <c r="M251" s="840"/>
    </row>
    <row r="252" spans="1:13" s="25" customFormat="1" ht="24.75" customHeight="1">
      <c r="A252" s="761"/>
      <c r="B252" s="762"/>
      <c r="C252" s="23" t="s">
        <v>27</v>
      </c>
      <c r="D252" s="487"/>
      <c r="E252" s="490"/>
      <c r="F252" s="194"/>
      <c r="G252" s="194">
        <f t="shared" si="41"/>
        <v>0</v>
      </c>
      <c r="H252" s="194"/>
      <c r="I252" s="194"/>
      <c r="J252" s="194">
        <f>4446.112-526.952+1537.10326-314.81263</f>
        <v>5141.450629999999</v>
      </c>
      <c r="K252" s="194">
        <v>0</v>
      </c>
      <c r="L252" s="873"/>
      <c r="M252" s="840"/>
    </row>
    <row r="253" spans="1:13" s="25" customFormat="1" ht="24.75" customHeight="1">
      <c r="A253" s="761"/>
      <c r="B253" s="762"/>
      <c r="C253" s="23" t="s">
        <v>24</v>
      </c>
      <c r="D253" s="487"/>
      <c r="E253" s="490"/>
      <c r="F253" s="194"/>
      <c r="G253" s="194">
        <f t="shared" si="41"/>
        <v>0</v>
      </c>
      <c r="H253" s="194"/>
      <c r="I253" s="194"/>
      <c r="J253" s="194">
        <f>115.226+847.899+0.168</f>
        <v>963.293</v>
      </c>
      <c r="K253" s="194">
        <v>0</v>
      </c>
      <c r="L253" s="873"/>
      <c r="M253" s="840"/>
    </row>
    <row r="254" spans="1:13" s="25" customFormat="1" ht="24.75" customHeight="1">
      <c r="A254" s="761"/>
      <c r="B254" s="762"/>
      <c r="C254" s="23" t="s">
        <v>172</v>
      </c>
      <c r="D254" s="487"/>
      <c r="E254" s="490"/>
      <c r="F254" s="194"/>
      <c r="G254" s="194">
        <f t="shared" si="41"/>
        <v>0</v>
      </c>
      <c r="H254" s="194"/>
      <c r="I254" s="194"/>
      <c r="J254" s="194">
        <f>357.7+36.69771</f>
        <v>394.39770999999996</v>
      </c>
      <c r="K254" s="194">
        <v>0</v>
      </c>
      <c r="L254" s="484" t="s">
        <v>172</v>
      </c>
      <c r="M254" s="840"/>
    </row>
    <row r="255" spans="1:13" s="25" customFormat="1" ht="24.75" customHeight="1">
      <c r="A255" s="761"/>
      <c r="B255" s="762"/>
      <c r="C255" s="23" t="s">
        <v>173</v>
      </c>
      <c r="D255" s="487"/>
      <c r="E255" s="490"/>
      <c r="F255" s="194"/>
      <c r="G255" s="194">
        <f t="shared" si="41"/>
        <v>0</v>
      </c>
      <c r="H255" s="194"/>
      <c r="I255" s="194"/>
      <c r="J255" s="194">
        <f>105.779+362.898-106.319</f>
        <v>362.358</v>
      </c>
      <c r="K255" s="194">
        <v>0</v>
      </c>
      <c r="L255" s="484" t="s">
        <v>173</v>
      </c>
      <c r="M255" s="840"/>
    </row>
    <row r="256" spans="1:13" s="25" customFormat="1" ht="24.75" customHeight="1">
      <c r="A256" s="761"/>
      <c r="B256" s="762"/>
      <c r="C256" s="23" t="s">
        <v>175</v>
      </c>
      <c r="D256" s="487"/>
      <c r="E256" s="490"/>
      <c r="F256" s="194"/>
      <c r="G256" s="194">
        <f t="shared" si="41"/>
        <v>0</v>
      </c>
      <c r="H256" s="194"/>
      <c r="I256" s="194"/>
      <c r="J256" s="194">
        <v>0</v>
      </c>
      <c r="K256" s="194">
        <v>0</v>
      </c>
      <c r="L256" s="473"/>
      <c r="M256" s="840"/>
    </row>
    <row r="257" spans="1:13" s="25" customFormat="1" ht="24.75" customHeight="1">
      <c r="A257" s="761"/>
      <c r="B257" s="762"/>
      <c r="C257" s="23" t="s">
        <v>27</v>
      </c>
      <c r="D257" s="487"/>
      <c r="E257" s="490"/>
      <c r="F257" s="194"/>
      <c r="G257" s="194">
        <f t="shared" si="41"/>
        <v>0</v>
      </c>
      <c r="H257" s="194"/>
      <c r="I257" s="194"/>
      <c r="J257" s="194">
        <f>196.448+30+275.818-26.184</f>
        <v>476.08199999999994</v>
      </c>
      <c r="K257" s="194">
        <v>0</v>
      </c>
      <c r="L257" s="473" t="s">
        <v>176</v>
      </c>
      <c r="M257" s="840"/>
    </row>
    <row r="258" spans="1:13" s="25" customFormat="1" ht="24.75" customHeight="1">
      <c r="A258" s="761"/>
      <c r="B258" s="762"/>
      <c r="C258" s="23" t="s">
        <v>24</v>
      </c>
      <c r="D258" s="487"/>
      <c r="E258" s="490"/>
      <c r="F258" s="194"/>
      <c r="G258" s="194">
        <f t="shared" si="41"/>
        <v>0</v>
      </c>
      <c r="H258" s="194"/>
      <c r="I258" s="194"/>
      <c r="J258" s="194">
        <f>624.103+100+900+26.6</f>
        <v>1650.703</v>
      </c>
      <c r="K258" s="194">
        <v>0</v>
      </c>
      <c r="L258" s="473" t="s">
        <v>124</v>
      </c>
      <c r="M258" s="840"/>
    </row>
    <row r="259" spans="1:13" s="25" customFormat="1" ht="24.75" customHeight="1">
      <c r="A259" s="761"/>
      <c r="B259" s="762"/>
      <c r="C259" s="23"/>
      <c r="D259" s="487"/>
      <c r="E259" s="490"/>
      <c r="F259" s="194"/>
      <c r="G259" s="194">
        <f t="shared" si="41"/>
        <v>0</v>
      </c>
      <c r="H259" s="194"/>
      <c r="I259" s="194"/>
      <c r="J259" s="194">
        <v>0</v>
      </c>
      <c r="K259" s="194">
        <v>0</v>
      </c>
      <c r="L259" s="473" t="s">
        <v>177</v>
      </c>
      <c r="M259" s="840"/>
    </row>
    <row r="260" spans="1:13" s="25" customFormat="1" ht="24.75" customHeight="1">
      <c r="A260" s="761"/>
      <c r="B260" s="762"/>
      <c r="C260" s="23" t="s">
        <v>106</v>
      </c>
      <c r="D260" s="487"/>
      <c r="E260" s="490"/>
      <c r="F260" s="194"/>
      <c r="G260" s="194">
        <f t="shared" si="41"/>
        <v>0</v>
      </c>
      <c r="H260" s="194"/>
      <c r="I260" s="194"/>
      <c r="J260" s="194">
        <f>491.117-443.682+838.97984-0.0006</f>
        <v>886.41424</v>
      </c>
      <c r="K260" s="194">
        <v>0</v>
      </c>
      <c r="L260" s="473" t="s">
        <v>177</v>
      </c>
      <c r="M260" s="840"/>
    </row>
    <row r="261" spans="1:13" s="25" customFormat="1" ht="24.75" customHeight="1">
      <c r="A261" s="761"/>
      <c r="B261" s="762"/>
      <c r="C261" s="23" t="s">
        <v>106</v>
      </c>
      <c r="D261" s="487"/>
      <c r="E261" s="490"/>
      <c r="F261" s="194"/>
      <c r="G261" s="194">
        <f t="shared" si="41"/>
        <v>0</v>
      </c>
      <c r="H261" s="194"/>
      <c r="I261" s="194"/>
      <c r="J261" s="197">
        <f>147.021+24</f>
        <v>171.021</v>
      </c>
      <c r="K261" s="194">
        <v>0</v>
      </c>
      <c r="L261" s="473" t="s">
        <v>178</v>
      </c>
      <c r="M261" s="840"/>
    </row>
    <row r="262" spans="1:13" s="25" customFormat="1" ht="24.75" customHeight="1" thickBot="1">
      <c r="A262" s="761"/>
      <c r="B262" s="762"/>
      <c r="C262" s="465"/>
      <c r="D262" s="29"/>
      <c r="E262" s="198"/>
      <c r="F262" s="199"/>
      <c r="G262" s="199">
        <f t="shared" si="41"/>
        <v>0</v>
      </c>
      <c r="H262" s="199"/>
      <c r="I262" s="199"/>
      <c r="J262" s="200">
        <v>0</v>
      </c>
      <c r="K262" s="199">
        <v>0</v>
      </c>
      <c r="L262" s="473"/>
      <c r="M262" s="840"/>
    </row>
    <row r="263" spans="1:13" s="25" customFormat="1" ht="24.75" customHeight="1" thickBot="1">
      <c r="A263" s="761"/>
      <c r="B263" s="762"/>
      <c r="C263" s="201"/>
      <c r="D263" s="202">
        <v>2019</v>
      </c>
      <c r="E263" s="203">
        <f aca="true" t="shared" si="42" ref="E263:E277">F263+G263+J263+K263</f>
        <v>25876.25605</v>
      </c>
      <c r="F263" s="203">
        <f aca="true" t="shared" si="43" ref="F263:K263">SUM(F264:F277)</f>
        <v>0</v>
      </c>
      <c r="G263" s="203">
        <f t="shared" si="43"/>
        <v>0</v>
      </c>
      <c r="H263" s="203">
        <f t="shared" si="43"/>
        <v>0</v>
      </c>
      <c r="I263" s="203">
        <f t="shared" si="43"/>
        <v>0</v>
      </c>
      <c r="J263" s="203">
        <f t="shared" si="43"/>
        <v>25876.25605</v>
      </c>
      <c r="K263" s="204">
        <f t="shared" si="43"/>
        <v>0</v>
      </c>
      <c r="L263" s="205" t="s">
        <v>171</v>
      </c>
      <c r="M263" s="840"/>
    </row>
    <row r="264" spans="1:13" s="25" customFormat="1" ht="24.75" customHeight="1">
      <c r="A264" s="761"/>
      <c r="B264" s="762"/>
      <c r="C264" s="206" t="s">
        <v>118</v>
      </c>
      <c r="D264" s="207"/>
      <c r="E264" s="208">
        <f t="shared" si="42"/>
        <v>1159.92432</v>
      </c>
      <c r="F264" s="208"/>
      <c r="G264" s="208">
        <f aca="true" t="shared" si="44" ref="G264:G277">H264+I264</f>
        <v>0</v>
      </c>
      <c r="H264" s="208"/>
      <c r="I264" s="209"/>
      <c r="J264" s="208">
        <f>1350-190.07568</f>
        <v>1159.92432</v>
      </c>
      <c r="K264" s="208">
        <v>0</v>
      </c>
      <c r="L264" s="24" t="s">
        <v>171</v>
      </c>
      <c r="M264" s="840"/>
    </row>
    <row r="265" spans="1:13" s="25" customFormat="1" ht="24.75" customHeight="1">
      <c r="A265" s="761"/>
      <c r="B265" s="762"/>
      <c r="C265" s="23" t="s">
        <v>119</v>
      </c>
      <c r="D265" s="487"/>
      <c r="E265" s="194">
        <f t="shared" si="42"/>
        <v>17673.222</v>
      </c>
      <c r="F265" s="194"/>
      <c r="G265" s="194">
        <f t="shared" si="44"/>
        <v>0</v>
      </c>
      <c r="H265" s="194"/>
      <c r="I265" s="490"/>
      <c r="J265" s="194">
        <f>17794.4248-121.2028</f>
        <v>17673.222</v>
      </c>
      <c r="K265" s="194"/>
      <c r="L265" s="24" t="s">
        <v>171</v>
      </c>
      <c r="M265" s="840"/>
    </row>
    <row r="266" spans="1:13" s="25" customFormat="1" ht="24.75" customHeight="1">
      <c r="A266" s="761"/>
      <c r="B266" s="762"/>
      <c r="C266" s="23" t="s">
        <v>120</v>
      </c>
      <c r="D266" s="487"/>
      <c r="E266" s="194">
        <f t="shared" si="42"/>
        <v>0</v>
      </c>
      <c r="F266" s="194"/>
      <c r="G266" s="194">
        <f t="shared" si="44"/>
        <v>0</v>
      </c>
      <c r="H266" s="194"/>
      <c r="I266" s="490"/>
      <c r="J266" s="194">
        <f>500-159.431-340.569</f>
        <v>0</v>
      </c>
      <c r="K266" s="194"/>
      <c r="L266" s="24" t="s">
        <v>171</v>
      </c>
      <c r="M266" s="840"/>
    </row>
    <row r="267" spans="1:13" s="25" customFormat="1" ht="24.75" customHeight="1">
      <c r="A267" s="761"/>
      <c r="B267" s="762"/>
      <c r="C267" s="23" t="s">
        <v>179</v>
      </c>
      <c r="D267" s="487"/>
      <c r="E267" s="194">
        <f t="shared" si="42"/>
        <v>2109.1145</v>
      </c>
      <c r="F267" s="194"/>
      <c r="G267" s="194">
        <f t="shared" si="44"/>
        <v>0</v>
      </c>
      <c r="H267" s="194"/>
      <c r="I267" s="194">
        <v>0</v>
      </c>
      <c r="J267" s="194">
        <f>1797.73863+313.37887-2.003</f>
        <v>2109.1145</v>
      </c>
      <c r="K267" s="194"/>
      <c r="L267" s="24" t="s">
        <v>171</v>
      </c>
      <c r="M267" s="840"/>
    </row>
    <row r="268" spans="1:13" s="25" customFormat="1" ht="24.75" customHeight="1">
      <c r="A268" s="761"/>
      <c r="B268" s="762"/>
      <c r="C268" s="23" t="s">
        <v>179</v>
      </c>
      <c r="D268" s="487"/>
      <c r="E268" s="194">
        <f t="shared" si="42"/>
        <v>0</v>
      </c>
      <c r="F268" s="194"/>
      <c r="G268" s="194">
        <f t="shared" si="44"/>
        <v>0</v>
      </c>
      <c r="H268" s="194"/>
      <c r="I268" s="194"/>
      <c r="J268" s="194">
        <v>0</v>
      </c>
      <c r="K268" s="194"/>
      <c r="L268" s="24" t="s">
        <v>180</v>
      </c>
      <c r="M268" s="840"/>
    </row>
    <row r="269" spans="1:13" s="25" customFormat="1" ht="24.75" customHeight="1">
      <c r="A269" s="761"/>
      <c r="B269" s="762"/>
      <c r="C269" s="23" t="s">
        <v>124</v>
      </c>
      <c r="D269" s="487"/>
      <c r="E269" s="194">
        <f t="shared" si="42"/>
        <v>1830.5851200000002</v>
      </c>
      <c r="F269" s="194"/>
      <c r="G269" s="194">
        <f t="shared" si="44"/>
        <v>0</v>
      </c>
      <c r="H269" s="194"/>
      <c r="I269" s="490"/>
      <c r="J269" s="194">
        <f>1841.35064-10.76552</f>
        <v>1830.5851200000002</v>
      </c>
      <c r="K269" s="194"/>
      <c r="L269" s="24" t="s">
        <v>171</v>
      </c>
      <c r="M269" s="840"/>
    </row>
    <row r="270" spans="1:13" s="25" customFormat="1" ht="24.75" customHeight="1">
      <c r="A270" s="761"/>
      <c r="B270" s="762"/>
      <c r="C270" s="23" t="s">
        <v>181</v>
      </c>
      <c r="D270" s="487"/>
      <c r="E270" s="194">
        <f t="shared" si="42"/>
        <v>0</v>
      </c>
      <c r="F270" s="194"/>
      <c r="G270" s="194">
        <f t="shared" si="44"/>
        <v>0</v>
      </c>
      <c r="H270" s="194"/>
      <c r="I270" s="490"/>
      <c r="J270" s="194">
        <v>0</v>
      </c>
      <c r="K270" s="194"/>
      <c r="L270" s="24" t="s">
        <v>171</v>
      </c>
      <c r="M270" s="840"/>
    </row>
    <row r="271" spans="1:13" s="25" customFormat="1" ht="24.75" customHeight="1">
      <c r="A271" s="761"/>
      <c r="B271" s="762"/>
      <c r="C271" s="23" t="s">
        <v>118</v>
      </c>
      <c r="D271" s="487"/>
      <c r="E271" s="194">
        <f t="shared" si="42"/>
        <v>200</v>
      </c>
      <c r="F271" s="194"/>
      <c r="G271" s="194">
        <f t="shared" si="44"/>
        <v>0</v>
      </c>
      <c r="H271" s="194"/>
      <c r="I271" s="490"/>
      <c r="J271" s="194">
        <v>200</v>
      </c>
      <c r="K271" s="194"/>
      <c r="L271" s="24" t="s">
        <v>118</v>
      </c>
      <c r="M271" s="840"/>
    </row>
    <row r="272" spans="1:13" s="25" customFormat="1" ht="24.75" customHeight="1">
      <c r="A272" s="761"/>
      <c r="B272" s="762"/>
      <c r="C272" s="23" t="s">
        <v>119</v>
      </c>
      <c r="D272" s="487"/>
      <c r="E272" s="194">
        <f t="shared" si="42"/>
        <v>262.6042</v>
      </c>
      <c r="F272" s="194"/>
      <c r="G272" s="194">
        <f t="shared" si="44"/>
        <v>0</v>
      </c>
      <c r="H272" s="194"/>
      <c r="I272" s="490"/>
      <c r="J272" s="194">
        <f>340.773-78.1688</f>
        <v>262.6042</v>
      </c>
      <c r="K272" s="194"/>
      <c r="L272" s="24" t="s">
        <v>119</v>
      </c>
      <c r="M272" s="840"/>
    </row>
    <row r="273" spans="1:13" s="25" customFormat="1" ht="24.75" customHeight="1">
      <c r="A273" s="761"/>
      <c r="B273" s="762"/>
      <c r="C273" s="23" t="s">
        <v>120</v>
      </c>
      <c r="D273" s="487"/>
      <c r="E273" s="194">
        <f t="shared" si="42"/>
        <v>277.714</v>
      </c>
      <c r="F273" s="194"/>
      <c r="G273" s="194">
        <f t="shared" si="44"/>
        <v>0</v>
      </c>
      <c r="H273" s="194"/>
      <c r="I273" s="490"/>
      <c r="J273" s="194">
        <f>159.431+118.283</f>
        <v>277.714</v>
      </c>
      <c r="K273" s="194"/>
      <c r="L273" s="24" t="s">
        <v>120</v>
      </c>
      <c r="M273" s="840"/>
    </row>
    <row r="274" spans="1:13" s="25" customFormat="1" ht="24.75" customHeight="1">
      <c r="A274" s="761"/>
      <c r="B274" s="762"/>
      <c r="C274" s="23" t="s">
        <v>179</v>
      </c>
      <c r="D274" s="487"/>
      <c r="E274" s="194">
        <f t="shared" si="42"/>
        <v>1940.84825</v>
      </c>
      <c r="F274" s="194"/>
      <c r="G274" s="194">
        <f t="shared" si="44"/>
        <v>0</v>
      </c>
      <c r="H274" s="194"/>
      <c r="I274" s="490"/>
      <c r="J274" s="194">
        <f>2430.61771-489.76946</f>
        <v>1940.84825</v>
      </c>
      <c r="K274" s="194"/>
      <c r="L274" s="24" t="s">
        <v>145</v>
      </c>
      <c r="M274" s="840"/>
    </row>
    <row r="275" spans="1:13" s="25" customFormat="1" ht="24.75" customHeight="1">
      <c r="A275" s="761"/>
      <c r="B275" s="762"/>
      <c r="C275" s="23" t="s">
        <v>124</v>
      </c>
      <c r="D275" s="487"/>
      <c r="E275" s="194">
        <f t="shared" si="42"/>
        <v>422.24366</v>
      </c>
      <c r="F275" s="194"/>
      <c r="G275" s="194">
        <f t="shared" si="44"/>
        <v>0</v>
      </c>
      <c r="H275" s="194"/>
      <c r="I275" s="490"/>
      <c r="J275" s="194">
        <f>301.36966+120.874</f>
        <v>422.24366</v>
      </c>
      <c r="K275" s="194"/>
      <c r="L275" s="24" t="s">
        <v>149</v>
      </c>
      <c r="M275" s="840"/>
    </row>
    <row r="276" spans="1:13" s="25" customFormat="1" ht="24.75" customHeight="1">
      <c r="A276" s="761"/>
      <c r="B276" s="762"/>
      <c r="C276" s="23"/>
      <c r="D276" s="487"/>
      <c r="E276" s="194">
        <f t="shared" si="42"/>
        <v>0</v>
      </c>
      <c r="F276" s="194"/>
      <c r="G276" s="194">
        <f t="shared" si="44"/>
        <v>0</v>
      </c>
      <c r="H276" s="194"/>
      <c r="I276" s="490"/>
      <c r="J276" s="194">
        <v>0</v>
      </c>
      <c r="K276" s="194"/>
      <c r="L276" s="210"/>
      <c r="M276" s="840"/>
    </row>
    <row r="277" spans="1:13" s="25" customFormat="1" ht="24.75" customHeight="1" thickBot="1">
      <c r="A277" s="761"/>
      <c r="B277" s="762"/>
      <c r="C277" s="23"/>
      <c r="D277" s="29"/>
      <c r="E277" s="199">
        <f t="shared" si="42"/>
        <v>0</v>
      </c>
      <c r="F277" s="199"/>
      <c r="G277" s="199">
        <f t="shared" si="44"/>
        <v>0</v>
      </c>
      <c r="H277" s="199"/>
      <c r="I277" s="198"/>
      <c r="J277" s="199">
        <v>0</v>
      </c>
      <c r="K277" s="199"/>
      <c r="L277" s="210"/>
      <c r="M277" s="840"/>
    </row>
    <row r="278" spans="1:13" s="25" customFormat="1" ht="30" customHeight="1" thickBot="1">
      <c r="A278" s="761"/>
      <c r="B278" s="874" t="s">
        <v>166</v>
      </c>
      <c r="C278" s="211"/>
      <c r="D278" s="212">
        <v>2020</v>
      </c>
      <c r="E278" s="203">
        <f aca="true" t="shared" si="45" ref="E278:J278">SUM(E279:E287)</f>
        <v>16055.751890000001</v>
      </c>
      <c r="F278" s="203">
        <f t="shared" si="45"/>
        <v>0</v>
      </c>
      <c r="G278" s="203">
        <f t="shared" si="45"/>
        <v>0</v>
      </c>
      <c r="H278" s="203">
        <f t="shared" si="45"/>
        <v>0</v>
      </c>
      <c r="I278" s="203">
        <f t="shared" si="45"/>
        <v>0</v>
      </c>
      <c r="J278" s="203">
        <f t="shared" si="45"/>
        <v>16055.751890000001</v>
      </c>
      <c r="K278" s="203">
        <f>SUM(K279:K286)</f>
        <v>0</v>
      </c>
      <c r="L278" s="213"/>
      <c r="M278" s="840"/>
    </row>
    <row r="279" spans="1:13" s="25" customFormat="1" ht="30" customHeight="1">
      <c r="A279" s="761"/>
      <c r="B279" s="874"/>
      <c r="C279" s="23" t="s">
        <v>119</v>
      </c>
      <c r="D279" s="214"/>
      <c r="E279" s="215">
        <f aca="true" t="shared" si="46" ref="E279:E287">F279+G279+J279+K279</f>
        <v>7244.213500000001</v>
      </c>
      <c r="F279" s="215"/>
      <c r="G279" s="215">
        <f aca="true" t="shared" si="47" ref="G279:G287">H279+I279</f>
        <v>0</v>
      </c>
      <c r="H279" s="215"/>
      <c r="I279" s="216"/>
      <c r="J279" s="215">
        <f>11000-3806.3995+50.613</f>
        <v>7244.213500000001</v>
      </c>
      <c r="K279" s="215"/>
      <c r="L279" s="24" t="s">
        <v>171</v>
      </c>
      <c r="M279" s="840"/>
    </row>
    <row r="280" spans="1:13" s="25" customFormat="1" ht="30" customHeight="1">
      <c r="A280" s="761"/>
      <c r="B280" s="874"/>
      <c r="C280" s="211" t="s">
        <v>179</v>
      </c>
      <c r="D280" s="487"/>
      <c r="E280" s="194">
        <f t="shared" si="46"/>
        <v>3323.71263</v>
      </c>
      <c r="F280" s="194"/>
      <c r="G280" s="194">
        <f t="shared" si="47"/>
        <v>0</v>
      </c>
      <c r="H280" s="194"/>
      <c r="I280" s="490"/>
      <c r="J280" s="194">
        <f>7142.742-3660.764-307.2291+148.96373</f>
        <v>3323.71263</v>
      </c>
      <c r="K280" s="194"/>
      <c r="L280" s="217" t="s">
        <v>182</v>
      </c>
      <c r="M280" s="840"/>
    </row>
    <row r="281" spans="1:13" s="25" customFormat="1" ht="30" customHeight="1">
      <c r="A281" s="761"/>
      <c r="B281" s="874"/>
      <c r="C281" s="211" t="s">
        <v>106</v>
      </c>
      <c r="D281" s="487"/>
      <c r="E281" s="194">
        <f t="shared" si="46"/>
        <v>1525.96188</v>
      </c>
      <c r="F281" s="194"/>
      <c r="G281" s="194">
        <f t="shared" si="47"/>
        <v>0</v>
      </c>
      <c r="H281" s="194"/>
      <c r="I281" s="490"/>
      <c r="J281" s="194">
        <f>2400-794.205-3.89412-75.939</f>
        <v>1525.96188</v>
      </c>
      <c r="K281" s="194"/>
      <c r="L281" s="217" t="s">
        <v>182</v>
      </c>
      <c r="M281" s="840"/>
    </row>
    <row r="282" spans="1:13" s="25" customFormat="1" ht="30" customHeight="1">
      <c r="A282" s="761"/>
      <c r="B282" s="874"/>
      <c r="C282" s="211" t="s">
        <v>124</v>
      </c>
      <c r="D282" s="29"/>
      <c r="E282" s="194">
        <f t="shared" si="46"/>
        <v>927.09288</v>
      </c>
      <c r="F282" s="199"/>
      <c r="G282" s="194">
        <f t="shared" si="47"/>
        <v>0</v>
      </c>
      <c r="H282" s="199"/>
      <c r="I282" s="198"/>
      <c r="J282" s="199">
        <f>1065.624-138.53112</f>
        <v>927.09288</v>
      </c>
      <c r="K282" s="199"/>
      <c r="L282" s="217" t="s">
        <v>177</v>
      </c>
      <c r="M282" s="840"/>
    </row>
    <row r="283" spans="1:13" s="25" customFormat="1" ht="30" customHeight="1">
      <c r="A283" s="761"/>
      <c r="B283" s="874"/>
      <c r="C283" s="211" t="s">
        <v>179</v>
      </c>
      <c r="D283" s="29"/>
      <c r="E283" s="194">
        <f t="shared" si="46"/>
        <v>50.313</v>
      </c>
      <c r="F283" s="199"/>
      <c r="G283" s="194">
        <f t="shared" si="47"/>
        <v>0</v>
      </c>
      <c r="H283" s="199"/>
      <c r="I283" s="198"/>
      <c r="J283" s="199">
        <f>100-49.687</f>
        <v>50.313</v>
      </c>
      <c r="K283" s="199"/>
      <c r="L283" s="217" t="s">
        <v>179</v>
      </c>
      <c r="M283" s="840"/>
    </row>
    <row r="284" spans="1:13" s="25" customFormat="1" ht="30" customHeight="1">
      <c r="A284" s="761"/>
      <c r="B284" s="874"/>
      <c r="C284" s="211" t="s">
        <v>124</v>
      </c>
      <c r="D284" s="29"/>
      <c r="E284" s="194">
        <f t="shared" si="46"/>
        <v>2169.525</v>
      </c>
      <c r="F284" s="199"/>
      <c r="G284" s="194">
        <f t="shared" si="47"/>
        <v>0</v>
      </c>
      <c r="H284" s="199"/>
      <c r="I284" s="198"/>
      <c r="J284" s="199">
        <f>1699.525+470</f>
        <v>2169.525</v>
      </c>
      <c r="K284" s="199"/>
      <c r="L284" s="217" t="s">
        <v>124</v>
      </c>
      <c r="M284" s="840"/>
    </row>
    <row r="285" spans="1:13" s="25" customFormat="1" ht="30" customHeight="1">
      <c r="A285" s="761"/>
      <c r="B285" s="874"/>
      <c r="C285" s="211" t="s">
        <v>118</v>
      </c>
      <c r="D285" s="29"/>
      <c r="E285" s="194">
        <f t="shared" si="46"/>
        <v>342.134</v>
      </c>
      <c r="F285" s="199"/>
      <c r="G285" s="194">
        <f t="shared" si="47"/>
        <v>0</v>
      </c>
      <c r="H285" s="199"/>
      <c r="I285" s="198"/>
      <c r="J285" s="199">
        <v>342.134</v>
      </c>
      <c r="K285" s="199"/>
      <c r="L285" s="217" t="s">
        <v>118</v>
      </c>
      <c r="M285" s="840"/>
    </row>
    <row r="286" spans="1:13" s="25" customFormat="1" ht="30" customHeight="1">
      <c r="A286" s="761"/>
      <c r="B286" s="874"/>
      <c r="C286" s="218" t="s">
        <v>119</v>
      </c>
      <c r="D286" s="29"/>
      <c r="E286" s="199">
        <f t="shared" si="46"/>
        <v>48.53</v>
      </c>
      <c r="F286" s="199"/>
      <c r="G286" s="199">
        <f t="shared" si="47"/>
        <v>0</v>
      </c>
      <c r="H286" s="199"/>
      <c r="I286" s="198"/>
      <c r="J286" s="199">
        <f>66.985-18.455</f>
        <v>48.53</v>
      </c>
      <c r="K286" s="199"/>
      <c r="L286" s="219" t="s">
        <v>119</v>
      </c>
      <c r="M286" s="840"/>
    </row>
    <row r="287" spans="1:13" s="25" customFormat="1" ht="30" customHeight="1">
      <c r="A287" s="761"/>
      <c r="B287" s="874"/>
      <c r="C287" s="465" t="s">
        <v>106</v>
      </c>
      <c r="D287" s="29"/>
      <c r="E287" s="199">
        <f t="shared" si="46"/>
        <v>424.269</v>
      </c>
      <c r="F287" s="199"/>
      <c r="G287" s="199">
        <f t="shared" si="47"/>
        <v>0</v>
      </c>
      <c r="H287" s="199"/>
      <c r="I287" s="198"/>
      <c r="J287" s="199">
        <f>495.342-71.073</f>
        <v>424.269</v>
      </c>
      <c r="K287" s="199"/>
      <c r="L287" s="220" t="s">
        <v>106</v>
      </c>
      <c r="M287" s="840"/>
    </row>
    <row r="288" spans="1:13" s="25" customFormat="1" ht="62.25" customHeight="1">
      <c r="A288" s="761"/>
      <c r="B288" s="22" t="s">
        <v>166</v>
      </c>
      <c r="C288" s="23"/>
      <c r="D288" s="487">
        <v>2021</v>
      </c>
      <c r="E288" s="490">
        <f aca="true" t="shared" si="48" ref="E288:K288">SUM(E289:E334)</f>
        <v>16747.13373</v>
      </c>
      <c r="F288" s="490">
        <f t="shared" si="48"/>
        <v>0</v>
      </c>
      <c r="G288" s="490">
        <f t="shared" si="48"/>
        <v>0</v>
      </c>
      <c r="H288" s="490">
        <f t="shared" si="48"/>
        <v>0</v>
      </c>
      <c r="I288" s="490">
        <f t="shared" si="48"/>
        <v>0</v>
      </c>
      <c r="J288" s="490">
        <f t="shared" si="48"/>
        <v>16747.13373</v>
      </c>
      <c r="K288" s="490">
        <f t="shared" si="48"/>
        <v>0</v>
      </c>
      <c r="L288" s="24"/>
      <c r="M288" s="840"/>
    </row>
    <row r="289" spans="1:13" s="25" customFormat="1" ht="36" customHeight="1">
      <c r="A289" s="761"/>
      <c r="B289" s="26" t="s">
        <v>183</v>
      </c>
      <c r="C289" s="894" t="s">
        <v>118</v>
      </c>
      <c r="D289" s="487"/>
      <c r="E289" s="27">
        <f aca="true" t="shared" si="49" ref="E289:E334">F289+G289+J289+K289</f>
        <v>538.447</v>
      </c>
      <c r="F289" s="27"/>
      <c r="G289" s="27"/>
      <c r="H289" s="27"/>
      <c r="I289" s="28"/>
      <c r="J289" s="27">
        <v>538.447</v>
      </c>
      <c r="K289" s="27"/>
      <c r="L289" s="873" t="s">
        <v>171</v>
      </c>
      <c r="M289" s="840"/>
    </row>
    <row r="290" spans="1:13" s="25" customFormat="1" ht="51" customHeight="1">
      <c r="A290" s="761"/>
      <c r="B290" s="26" t="s">
        <v>184</v>
      </c>
      <c r="C290" s="895"/>
      <c r="D290" s="29"/>
      <c r="E290" s="27">
        <f t="shared" si="49"/>
        <v>245.935</v>
      </c>
      <c r="F290" s="30"/>
      <c r="G290" s="30"/>
      <c r="H290" s="30"/>
      <c r="I290" s="31"/>
      <c r="J290" s="30">
        <v>245.935</v>
      </c>
      <c r="K290" s="30"/>
      <c r="L290" s="873"/>
      <c r="M290" s="840"/>
    </row>
    <row r="291" spans="1:13" s="25" customFormat="1" ht="22.5" customHeight="1">
      <c r="A291" s="761"/>
      <c r="B291" s="26" t="s">
        <v>360</v>
      </c>
      <c r="C291" s="895"/>
      <c r="D291" s="29"/>
      <c r="E291" s="27">
        <f>J291+I291+H291</f>
        <v>503.812</v>
      </c>
      <c r="F291" s="30"/>
      <c r="G291" s="30"/>
      <c r="H291" s="30"/>
      <c r="I291" s="31"/>
      <c r="J291" s="30">
        <f>284.614+219.198</f>
        <v>503.812</v>
      </c>
      <c r="K291" s="30"/>
      <c r="L291" s="897" t="s">
        <v>359</v>
      </c>
      <c r="M291" s="840"/>
    </row>
    <row r="292" spans="1:13" s="25" customFormat="1" ht="27.75" customHeight="1">
      <c r="A292" s="761"/>
      <c r="B292" s="26" t="s">
        <v>361</v>
      </c>
      <c r="C292" s="896"/>
      <c r="D292" s="29"/>
      <c r="E292" s="27">
        <f>J292+I292+H292</f>
        <v>188.901</v>
      </c>
      <c r="F292" s="30"/>
      <c r="G292" s="30"/>
      <c r="H292" s="30"/>
      <c r="I292" s="31"/>
      <c r="J292" s="30">
        <v>188.901</v>
      </c>
      <c r="K292" s="30"/>
      <c r="L292" s="898"/>
      <c r="M292" s="840"/>
    </row>
    <row r="293" spans="1:13" s="25" customFormat="1" ht="40.5" customHeight="1">
      <c r="A293" s="761"/>
      <c r="B293" s="32" t="s">
        <v>334</v>
      </c>
      <c r="C293" s="873" t="s">
        <v>119</v>
      </c>
      <c r="D293" s="29"/>
      <c r="E293" s="27">
        <f t="shared" si="49"/>
        <v>552.756</v>
      </c>
      <c r="F293" s="30"/>
      <c r="G293" s="30"/>
      <c r="H293" s="30"/>
      <c r="I293" s="31"/>
      <c r="J293" s="340">
        <v>552.756</v>
      </c>
      <c r="K293" s="30"/>
      <c r="L293" s="873" t="s">
        <v>171</v>
      </c>
      <c r="M293" s="840"/>
    </row>
    <row r="294" spans="1:13" s="25" customFormat="1" ht="51" customHeight="1">
      <c r="A294" s="761"/>
      <c r="B294" s="32" t="s">
        <v>185</v>
      </c>
      <c r="C294" s="873"/>
      <c r="D294" s="29"/>
      <c r="E294" s="27">
        <f t="shared" si="49"/>
        <v>237.84</v>
      </c>
      <c r="F294" s="30"/>
      <c r="G294" s="30"/>
      <c r="H294" s="30"/>
      <c r="I294" s="31"/>
      <c r="J294" s="340">
        <v>237.84</v>
      </c>
      <c r="K294" s="30"/>
      <c r="L294" s="873"/>
      <c r="M294" s="840"/>
    </row>
    <row r="295" spans="1:13" s="25" customFormat="1" ht="40.5" customHeight="1">
      <c r="A295" s="761"/>
      <c r="B295" s="32" t="s">
        <v>335</v>
      </c>
      <c r="C295" s="873"/>
      <c r="D295" s="29"/>
      <c r="E295" s="27">
        <f t="shared" si="49"/>
        <v>292.873</v>
      </c>
      <c r="F295" s="30"/>
      <c r="G295" s="30"/>
      <c r="H295" s="30"/>
      <c r="I295" s="31"/>
      <c r="J295" s="340">
        <v>292.873</v>
      </c>
      <c r="K295" s="30"/>
      <c r="L295" s="873"/>
      <c r="M295" s="840"/>
    </row>
    <row r="296" spans="1:13" s="25" customFormat="1" ht="29.25" customHeight="1">
      <c r="A296" s="761"/>
      <c r="B296" s="26" t="s">
        <v>186</v>
      </c>
      <c r="C296" s="873"/>
      <c r="D296" s="29"/>
      <c r="E296" s="27">
        <f t="shared" si="49"/>
        <v>67.09473</v>
      </c>
      <c r="F296" s="30"/>
      <c r="G296" s="30"/>
      <c r="H296" s="30"/>
      <c r="I296" s="31"/>
      <c r="J296" s="341">
        <v>67.09473</v>
      </c>
      <c r="K296" s="30"/>
      <c r="L296" s="873"/>
      <c r="M296" s="840"/>
    </row>
    <row r="297" spans="1:13" s="35" customFormat="1" ht="30.75" customHeight="1">
      <c r="A297" s="761"/>
      <c r="B297" s="33" t="s">
        <v>187</v>
      </c>
      <c r="C297" s="803" t="s">
        <v>119</v>
      </c>
      <c r="D297" s="34"/>
      <c r="E297" s="27">
        <f t="shared" si="49"/>
        <v>21</v>
      </c>
      <c r="F297" s="30"/>
      <c r="G297" s="30"/>
      <c r="H297" s="30"/>
      <c r="I297" s="31"/>
      <c r="J297" s="30">
        <v>21</v>
      </c>
      <c r="K297" s="30"/>
      <c r="L297" s="861" t="s">
        <v>119</v>
      </c>
      <c r="M297" s="840"/>
    </row>
    <row r="298" spans="1:13" s="35" customFormat="1" ht="30.75" customHeight="1">
      <c r="A298" s="761"/>
      <c r="B298" s="33" t="s">
        <v>337</v>
      </c>
      <c r="C298" s="803"/>
      <c r="D298" s="34"/>
      <c r="E298" s="27">
        <f t="shared" si="49"/>
        <v>388.928</v>
      </c>
      <c r="F298" s="30"/>
      <c r="G298" s="30"/>
      <c r="H298" s="30"/>
      <c r="I298" s="31"/>
      <c r="J298" s="30">
        <v>388.928</v>
      </c>
      <c r="K298" s="30"/>
      <c r="L298" s="861"/>
      <c r="M298" s="840"/>
    </row>
    <row r="299" spans="1:13" s="35" customFormat="1" ht="27" customHeight="1">
      <c r="A299" s="761"/>
      <c r="B299" s="33" t="s">
        <v>363</v>
      </c>
      <c r="C299" s="803"/>
      <c r="D299" s="34"/>
      <c r="E299" s="27">
        <f t="shared" si="49"/>
        <v>634.072</v>
      </c>
      <c r="F299" s="30"/>
      <c r="G299" s="30"/>
      <c r="H299" s="30"/>
      <c r="I299" s="31"/>
      <c r="J299" s="30">
        <f>531.072+103</f>
        <v>634.072</v>
      </c>
      <c r="K299" s="30"/>
      <c r="L299" s="861"/>
      <c r="M299" s="840"/>
    </row>
    <row r="300" spans="1:13" s="35" customFormat="1" ht="51.75" customHeight="1">
      <c r="A300" s="761"/>
      <c r="B300" s="33" t="s">
        <v>188</v>
      </c>
      <c r="C300" s="803"/>
      <c r="D300" s="34"/>
      <c r="E300" s="27">
        <f t="shared" si="49"/>
        <v>340</v>
      </c>
      <c r="F300" s="30"/>
      <c r="G300" s="30"/>
      <c r="H300" s="30"/>
      <c r="I300" s="31"/>
      <c r="J300" s="30">
        <v>340</v>
      </c>
      <c r="K300" s="30"/>
      <c r="L300" s="861"/>
      <c r="M300" s="840"/>
    </row>
    <row r="301" spans="1:13" s="35" customFormat="1" ht="39.75" customHeight="1">
      <c r="A301" s="761"/>
      <c r="B301" s="32" t="s">
        <v>336</v>
      </c>
      <c r="C301" s="803"/>
      <c r="D301" s="34"/>
      <c r="E301" s="27">
        <f t="shared" si="49"/>
        <v>45</v>
      </c>
      <c r="F301" s="30"/>
      <c r="G301" s="30"/>
      <c r="H301" s="30"/>
      <c r="I301" s="31"/>
      <c r="J301" s="30">
        <v>45</v>
      </c>
      <c r="K301" s="30"/>
      <c r="L301" s="861"/>
      <c r="M301" s="840"/>
    </row>
    <row r="302" spans="1:13" s="35" customFormat="1" ht="39.75" customHeight="1">
      <c r="A302" s="761"/>
      <c r="B302" s="32" t="s">
        <v>341</v>
      </c>
      <c r="C302" s="803"/>
      <c r="D302" s="34"/>
      <c r="E302" s="27">
        <f t="shared" si="49"/>
        <v>50</v>
      </c>
      <c r="F302" s="30"/>
      <c r="G302" s="30"/>
      <c r="H302" s="30"/>
      <c r="I302" s="31"/>
      <c r="J302" s="30">
        <v>50</v>
      </c>
      <c r="K302" s="30"/>
      <c r="L302" s="861"/>
      <c r="M302" s="840"/>
    </row>
    <row r="303" spans="1:13" s="35" customFormat="1" ht="51.75" customHeight="1">
      <c r="A303" s="761"/>
      <c r="B303" s="33" t="s">
        <v>338</v>
      </c>
      <c r="C303" s="803"/>
      <c r="D303" s="34"/>
      <c r="E303" s="27">
        <f t="shared" si="49"/>
        <v>200</v>
      </c>
      <c r="F303" s="30"/>
      <c r="G303" s="30"/>
      <c r="H303" s="30"/>
      <c r="I303" s="31"/>
      <c r="J303" s="30">
        <v>200</v>
      </c>
      <c r="K303" s="30"/>
      <c r="L303" s="861"/>
      <c r="M303" s="840"/>
    </row>
    <row r="304" spans="1:13" s="35" customFormat="1" ht="49.5" customHeight="1">
      <c r="A304" s="761"/>
      <c r="B304" s="33" t="s">
        <v>339</v>
      </c>
      <c r="C304" s="803"/>
      <c r="D304" s="34"/>
      <c r="E304" s="27">
        <f t="shared" si="49"/>
        <v>25</v>
      </c>
      <c r="F304" s="30"/>
      <c r="G304" s="30"/>
      <c r="H304" s="30"/>
      <c r="I304" s="31"/>
      <c r="J304" s="30">
        <v>25</v>
      </c>
      <c r="K304" s="30"/>
      <c r="L304" s="861"/>
      <c r="M304" s="840"/>
    </row>
    <row r="305" spans="1:13" s="35" customFormat="1" ht="51.75" customHeight="1">
      <c r="A305" s="761"/>
      <c r="B305" s="33" t="s">
        <v>340</v>
      </c>
      <c r="C305" s="804"/>
      <c r="D305" s="34"/>
      <c r="E305" s="27">
        <f t="shared" si="49"/>
        <v>30</v>
      </c>
      <c r="F305" s="30"/>
      <c r="G305" s="30"/>
      <c r="H305" s="30"/>
      <c r="I305" s="31"/>
      <c r="J305" s="30">
        <v>30</v>
      </c>
      <c r="K305" s="30"/>
      <c r="L305" s="868" t="s">
        <v>119</v>
      </c>
      <c r="M305" s="840"/>
    </row>
    <row r="306" spans="1:13" s="35" customFormat="1" ht="58.5" customHeight="1">
      <c r="A306" s="761"/>
      <c r="B306" s="33" t="s">
        <v>189</v>
      </c>
      <c r="C306" s="804"/>
      <c r="D306" s="34"/>
      <c r="E306" s="27">
        <f t="shared" si="49"/>
        <v>119.489</v>
      </c>
      <c r="F306" s="30"/>
      <c r="G306" s="30"/>
      <c r="H306" s="30"/>
      <c r="I306" s="31"/>
      <c r="J306" s="342">
        <f>120-0.511</f>
        <v>119.489</v>
      </c>
      <c r="K306" s="30"/>
      <c r="L306" s="868"/>
      <c r="M306" s="840"/>
    </row>
    <row r="307" spans="1:13" s="35" customFormat="1" ht="31.5" customHeight="1">
      <c r="A307" s="761"/>
      <c r="B307" s="33" t="s">
        <v>190</v>
      </c>
      <c r="C307" s="804"/>
      <c r="D307" s="34"/>
      <c r="E307" s="27">
        <f t="shared" si="49"/>
        <v>33.131</v>
      </c>
      <c r="F307" s="30"/>
      <c r="G307" s="30"/>
      <c r="H307" s="30"/>
      <c r="I307" s="31"/>
      <c r="J307" s="342">
        <f>32.62+0.511</f>
        <v>33.131</v>
      </c>
      <c r="K307" s="30"/>
      <c r="L307" s="868"/>
      <c r="M307" s="840"/>
    </row>
    <row r="308" spans="1:13" s="35" customFormat="1" ht="31.5" customHeight="1">
      <c r="A308" s="761"/>
      <c r="B308" s="32" t="s">
        <v>191</v>
      </c>
      <c r="C308" s="783" t="s">
        <v>120</v>
      </c>
      <c r="D308" s="34"/>
      <c r="E308" s="27">
        <f t="shared" si="49"/>
        <v>176.11524</v>
      </c>
      <c r="F308" s="30"/>
      <c r="G308" s="30"/>
      <c r="H308" s="30"/>
      <c r="I308" s="31"/>
      <c r="J308" s="343">
        <v>176.11524</v>
      </c>
      <c r="K308" s="30"/>
      <c r="L308" s="860" t="s">
        <v>171</v>
      </c>
      <c r="M308" s="840"/>
    </row>
    <row r="309" spans="1:13" s="35" customFormat="1" ht="20.25" customHeight="1">
      <c r="A309" s="761"/>
      <c r="B309" s="32" t="s">
        <v>192</v>
      </c>
      <c r="C309" s="784"/>
      <c r="D309" s="34"/>
      <c r="E309" s="27">
        <f t="shared" si="49"/>
        <v>214.938</v>
      </c>
      <c r="F309" s="30"/>
      <c r="G309" s="30"/>
      <c r="H309" s="30"/>
      <c r="I309" s="31"/>
      <c r="J309" s="343">
        <v>214.938</v>
      </c>
      <c r="K309" s="30"/>
      <c r="L309" s="860"/>
      <c r="M309" s="840"/>
    </row>
    <row r="310" spans="1:13" s="35" customFormat="1" ht="21.75" customHeight="1">
      <c r="A310" s="761"/>
      <c r="B310" s="32" t="s">
        <v>353</v>
      </c>
      <c r="C310" s="784"/>
      <c r="D310" s="34"/>
      <c r="E310" s="27">
        <f t="shared" si="49"/>
        <v>544.80805</v>
      </c>
      <c r="F310" s="30"/>
      <c r="G310" s="30"/>
      <c r="H310" s="30"/>
      <c r="I310" s="31"/>
      <c r="J310" s="343">
        <f>523.30805+21.5</f>
        <v>544.80805</v>
      </c>
      <c r="K310" s="30"/>
      <c r="L310" s="860"/>
      <c r="M310" s="840"/>
    </row>
    <row r="311" spans="1:13" s="35" customFormat="1" ht="31.5" customHeight="1">
      <c r="A311" s="761"/>
      <c r="B311" s="36" t="s">
        <v>352</v>
      </c>
      <c r="C311" s="784"/>
      <c r="D311" s="34"/>
      <c r="E311" s="27">
        <f t="shared" si="49"/>
        <v>229.44756</v>
      </c>
      <c r="F311" s="30"/>
      <c r="G311" s="30"/>
      <c r="H311" s="30"/>
      <c r="I311" s="31"/>
      <c r="J311" s="343">
        <v>229.44756</v>
      </c>
      <c r="K311" s="30"/>
      <c r="L311" s="860"/>
      <c r="M311" s="840"/>
    </row>
    <row r="312" spans="1:13" s="35" customFormat="1" ht="21" customHeight="1">
      <c r="A312" s="761"/>
      <c r="B312" s="36" t="s">
        <v>351</v>
      </c>
      <c r="C312" s="784"/>
      <c r="D312" s="34"/>
      <c r="E312" s="27">
        <f t="shared" si="49"/>
        <v>500.68815</v>
      </c>
      <c r="F312" s="30"/>
      <c r="G312" s="30"/>
      <c r="H312" s="30"/>
      <c r="I312" s="31"/>
      <c r="J312" s="343">
        <v>500.68815</v>
      </c>
      <c r="K312" s="30"/>
      <c r="L312" s="860"/>
      <c r="M312" s="840"/>
    </row>
    <row r="313" spans="1:13" s="35" customFormat="1" ht="21" customHeight="1">
      <c r="A313" s="761"/>
      <c r="B313" s="36" t="s">
        <v>354</v>
      </c>
      <c r="C313" s="785"/>
      <c r="D313" s="38"/>
      <c r="E313" s="27">
        <f t="shared" si="49"/>
        <v>28.088</v>
      </c>
      <c r="F313" s="30"/>
      <c r="G313" s="30"/>
      <c r="H313" s="30"/>
      <c r="I313" s="31"/>
      <c r="J313" s="343">
        <v>28.088</v>
      </c>
      <c r="K313" s="30"/>
      <c r="L313" s="469" t="s">
        <v>120</v>
      </c>
      <c r="M313" s="840"/>
    </row>
    <row r="314" spans="1:13" s="35" customFormat="1" ht="35.25" customHeight="1">
      <c r="A314" s="761"/>
      <c r="B314" s="33" t="s">
        <v>193</v>
      </c>
      <c r="C314" s="860" t="s">
        <v>179</v>
      </c>
      <c r="D314" s="37"/>
      <c r="E314" s="27">
        <f t="shared" si="49"/>
        <v>292.131</v>
      </c>
      <c r="F314" s="30"/>
      <c r="G314" s="30"/>
      <c r="H314" s="30"/>
      <c r="I314" s="31"/>
      <c r="J314" s="343">
        <v>292.131</v>
      </c>
      <c r="K314" s="30"/>
      <c r="L314" s="861" t="s">
        <v>171</v>
      </c>
      <c r="M314" s="840"/>
    </row>
    <row r="315" spans="1:13" s="35" customFormat="1" ht="21.75" customHeight="1">
      <c r="A315" s="761"/>
      <c r="B315" s="32" t="s">
        <v>194</v>
      </c>
      <c r="C315" s="860"/>
      <c r="D315" s="38"/>
      <c r="E315" s="27">
        <f t="shared" si="49"/>
        <v>2795.997</v>
      </c>
      <c r="F315" s="30"/>
      <c r="G315" s="30"/>
      <c r="H315" s="30"/>
      <c r="I315" s="31"/>
      <c r="J315" s="344">
        <v>2795.997</v>
      </c>
      <c r="K315" s="30"/>
      <c r="L315" s="861"/>
      <c r="M315" s="840"/>
    </row>
    <row r="316" spans="1:13" s="35" customFormat="1" ht="36.75" customHeight="1">
      <c r="A316" s="761"/>
      <c r="B316" s="36" t="s">
        <v>343</v>
      </c>
      <c r="C316" s="860"/>
      <c r="D316" s="38"/>
      <c r="E316" s="27">
        <f t="shared" si="49"/>
        <v>558.192</v>
      </c>
      <c r="F316" s="30"/>
      <c r="G316" s="30"/>
      <c r="H316" s="30"/>
      <c r="I316" s="31"/>
      <c r="J316" s="344">
        <f>558.192</f>
        <v>558.192</v>
      </c>
      <c r="K316" s="30"/>
      <c r="L316" s="861"/>
      <c r="M316" s="840"/>
    </row>
    <row r="317" spans="1:13" s="35" customFormat="1" ht="32.25" customHeight="1">
      <c r="A317" s="761"/>
      <c r="B317" s="36" t="s">
        <v>342</v>
      </c>
      <c r="C317" s="860"/>
      <c r="D317" s="38"/>
      <c r="E317" s="27">
        <f t="shared" si="49"/>
        <v>499.078</v>
      </c>
      <c r="F317" s="30"/>
      <c r="G317" s="30"/>
      <c r="H317" s="30"/>
      <c r="I317" s="31"/>
      <c r="J317" s="344">
        <v>499.078</v>
      </c>
      <c r="K317" s="30"/>
      <c r="L317" s="861"/>
      <c r="M317" s="840"/>
    </row>
    <row r="318" spans="1:13" s="35" customFormat="1" ht="32.25" customHeight="1">
      <c r="A318" s="761"/>
      <c r="B318" s="36" t="s">
        <v>362</v>
      </c>
      <c r="C318" s="860"/>
      <c r="D318" s="38"/>
      <c r="E318" s="27">
        <f t="shared" si="49"/>
        <v>50.531</v>
      </c>
      <c r="F318" s="30"/>
      <c r="G318" s="30"/>
      <c r="H318" s="30"/>
      <c r="I318" s="31"/>
      <c r="J318" s="344">
        <v>50.531</v>
      </c>
      <c r="K318" s="30"/>
      <c r="L318" s="861"/>
      <c r="M318" s="840"/>
    </row>
    <row r="319" spans="1:13" s="35" customFormat="1" ht="21" customHeight="1">
      <c r="A319" s="761"/>
      <c r="B319" s="36" t="s">
        <v>195</v>
      </c>
      <c r="C319" s="860"/>
      <c r="D319" s="38"/>
      <c r="E319" s="27">
        <f t="shared" si="49"/>
        <v>149.3199999999997</v>
      </c>
      <c r="F319" s="30"/>
      <c r="G319" s="30"/>
      <c r="H319" s="30"/>
      <c r="I319" s="31"/>
      <c r="J319" s="344">
        <f>2570.12-2420.8</f>
        <v>149.3199999999997</v>
      </c>
      <c r="K319" s="30"/>
      <c r="L319" s="861"/>
      <c r="M319" s="840"/>
    </row>
    <row r="320" spans="1:13" s="451" customFormat="1" ht="49.5" customHeight="1">
      <c r="A320" s="761"/>
      <c r="B320" s="39" t="s">
        <v>349</v>
      </c>
      <c r="C320" s="860" t="s">
        <v>179</v>
      </c>
      <c r="D320" s="34"/>
      <c r="E320" s="27">
        <f t="shared" si="49"/>
        <v>120</v>
      </c>
      <c r="F320" s="30"/>
      <c r="G320" s="30"/>
      <c r="H320" s="30"/>
      <c r="I320" s="31"/>
      <c r="J320" s="345">
        <f>90+30</f>
        <v>120</v>
      </c>
      <c r="K320" s="30"/>
      <c r="L320" s="452" t="s">
        <v>179</v>
      </c>
      <c r="M320" s="840"/>
    </row>
    <row r="321" spans="1:13" s="451" customFormat="1" ht="57" customHeight="1">
      <c r="A321" s="761"/>
      <c r="B321" s="39" t="s">
        <v>350</v>
      </c>
      <c r="C321" s="860"/>
      <c r="D321" s="34"/>
      <c r="E321" s="27">
        <f t="shared" si="49"/>
        <v>421.05</v>
      </c>
      <c r="F321" s="30"/>
      <c r="G321" s="30"/>
      <c r="H321" s="30"/>
      <c r="I321" s="31"/>
      <c r="J321" s="345">
        <f>421.05</f>
        <v>421.05</v>
      </c>
      <c r="K321" s="30"/>
      <c r="L321" s="462"/>
      <c r="M321" s="840"/>
    </row>
    <row r="322" spans="1:13" s="451" customFormat="1" ht="51.75" customHeight="1">
      <c r="A322" s="761"/>
      <c r="B322" s="39" t="s">
        <v>344</v>
      </c>
      <c r="C322" s="860"/>
      <c r="D322" s="34"/>
      <c r="E322" s="27">
        <f t="shared" si="49"/>
        <v>638.161</v>
      </c>
      <c r="F322" s="30"/>
      <c r="G322" s="30"/>
      <c r="H322" s="30"/>
      <c r="I322" s="31"/>
      <c r="J322" s="345">
        <v>638.161</v>
      </c>
      <c r="K322" s="30"/>
      <c r="L322" s="785" t="s">
        <v>179</v>
      </c>
      <c r="M322" s="840"/>
    </row>
    <row r="323" spans="1:13" s="451" customFormat="1" ht="40.5" customHeight="1">
      <c r="A323" s="761"/>
      <c r="B323" s="39" t="s">
        <v>345</v>
      </c>
      <c r="C323" s="860"/>
      <c r="D323" s="34"/>
      <c r="E323" s="27">
        <f t="shared" si="49"/>
        <v>336.089</v>
      </c>
      <c r="F323" s="30"/>
      <c r="G323" s="30"/>
      <c r="H323" s="30"/>
      <c r="I323" s="31"/>
      <c r="J323" s="345">
        <v>336.089</v>
      </c>
      <c r="K323" s="30"/>
      <c r="L323" s="785"/>
      <c r="M323" s="840"/>
    </row>
    <row r="324" spans="1:13" s="451" customFormat="1" ht="36.75" customHeight="1">
      <c r="A324" s="761"/>
      <c r="B324" s="39" t="s">
        <v>347</v>
      </c>
      <c r="C324" s="860"/>
      <c r="D324" s="34"/>
      <c r="E324" s="27">
        <f t="shared" si="49"/>
        <v>698.644</v>
      </c>
      <c r="F324" s="30"/>
      <c r="G324" s="30"/>
      <c r="H324" s="30"/>
      <c r="I324" s="31"/>
      <c r="J324" s="345">
        <v>698.644</v>
      </c>
      <c r="K324" s="30"/>
      <c r="L324" s="785"/>
      <c r="M324" s="840"/>
    </row>
    <row r="325" spans="1:13" s="451" customFormat="1" ht="39" customHeight="1">
      <c r="A325" s="761"/>
      <c r="B325" s="39" t="s">
        <v>346</v>
      </c>
      <c r="C325" s="860"/>
      <c r="D325" s="34"/>
      <c r="E325" s="27">
        <f t="shared" si="49"/>
        <v>559.593</v>
      </c>
      <c r="F325" s="30"/>
      <c r="G325" s="30"/>
      <c r="H325" s="30"/>
      <c r="I325" s="31"/>
      <c r="J325" s="345">
        <v>559.593</v>
      </c>
      <c r="K325" s="30"/>
      <c r="L325" s="785"/>
      <c r="M325" s="840"/>
    </row>
    <row r="326" spans="1:13" s="451" customFormat="1" ht="39" customHeight="1">
      <c r="A326" s="761"/>
      <c r="B326" s="40" t="s">
        <v>348</v>
      </c>
      <c r="C326" s="860"/>
      <c r="D326" s="34"/>
      <c r="E326" s="27">
        <f t="shared" si="49"/>
        <v>460.838</v>
      </c>
      <c r="F326" s="30"/>
      <c r="G326" s="30"/>
      <c r="H326" s="30"/>
      <c r="I326" s="31"/>
      <c r="J326" s="345">
        <f>460.838</f>
        <v>460.838</v>
      </c>
      <c r="K326" s="30"/>
      <c r="L326" s="785"/>
      <c r="M326" s="840"/>
    </row>
    <row r="327" spans="1:13" s="35" customFormat="1" ht="19.5" customHeight="1">
      <c r="A327" s="761"/>
      <c r="B327" s="32" t="s">
        <v>196</v>
      </c>
      <c r="C327" s="783" t="s">
        <v>124</v>
      </c>
      <c r="D327" s="34"/>
      <c r="E327" s="27">
        <f t="shared" si="49"/>
        <v>1576.8945</v>
      </c>
      <c r="F327" s="30"/>
      <c r="G327" s="30"/>
      <c r="H327" s="30"/>
      <c r="I327" s="31"/>
      <c r="J327" s="346">
        <f>1042.721+729.809-150.078-45.5575</f>
        <v>1576.8945</v>
      </c>
      <c r="K327" s="30"/>
      <c r="L327" s="803" t="s">
        <v>171</v>
      </c>
      <c r="M327" s="840"/>
    </row>
    <row r="328" spans="1:13" s="35" customFormat="1" ht="31.5" customHeight="1">
      <c r="A328" s="761"/>
      <c r="B328" s="41" t="s">
        <v>197</v>
      </c>
      <c r="C328" s="785"/>
      <c r="D328" s="34"/>
      <c r="E328" s="27">
        <f t="shared" si="49"/>
        <v>332.2075</v>
      </c>
      <c r="F328" s="30"/>
      <c r="G328" s="30"/>
      <c r="H328" s="30"/>
      <c r="I328" s="31"/>
      <c r="J328" s="30">
        <f>286.65+45.5575</f>
        <v>332.2075</v>
      </c>
      <c r="K328" s="30"/>
      <c r="L328" s="804"/>
      <c r="M328" s="840"/>
    </row>
    <row r="329" spans="1:13" s="35" customFormat="1" ht="31.5" customHeight="1">
      <c r="A329" s="761"/>
      <c r="B329" s="41" t="s">
        <v>357</v>
      </c>
      <c r="C329" s="453"/>
      <c r="D329" s="34"/>
      <c r="E329" s="27">
        <f t="shared" si="49"/>
        <v>150.078</v>
      </c>
      <c r="F329" s="30"/>
      <c r="G329" s="30"/>
      <c r="H329" s="30"/>
      <c r="I329" s="31"/>
      <c r="J329" s="30">
        <v>150.078</v>
      </c>
      <c r="K329" s="30"/>
      <c r="L329" s="460" t="s">
        <v>124</v>
      </c>
      <c r="M329" s="840"/>
    </row>
    <row r="330" spans="1:13" s="35" customFormat="1" ht="35.25" customHeight="1">
      <c r="A330" s="761"/>
      <c r="B330" s="42" t="s">
        <v>198</v>
      </c>
      <c r="C330" s="860" t="s">
        <v>106</v>
      </c>
      <c r="D330" s="34"/>
      <c r="E330" s="27">
        <f t="shared" si="49"/>
        <v>280.62588</v>
      </c>
      <c r="F330" s="30"/>
      <c r="G330" s="30"/>
      <c r="H330" s="30"/>
      <c r="I330" s="31"/>
      <c r="J330" s="347">
        <v>280.62588</v>
      </c>
      <c r="K330" s="30"/>
      <c r="L330" s="861" t="s">
        <v>171</v>
      </c>
      <c r="M330" s="840"/>
    </row>
    <row r="331" spans="1:13" s="35" customFormat="1" ht="33" customHeight="1">
      <c r="A331" s="761"/>
      <c r="B331" s="32" t="s">
        <v>199</v>
      </c>
      <c r="C331" s="860"/>
      <c r="D331" s="34"/>
      <c r="E331" s="27">
        <f t="shared" si="49"/>
        <v>124.86755</v>
      </c>
      <c r="F331" s="30"/>
      <c r="G331" s="30"/>
      <c r="H331" s="30"/>
      <c r="I331" s="31"/>
      <c r="J331" s="347">
        <v>124.86755</v>
      </c>
      <c r="K331" s="30"/>
      <c r="L331" s="861"/>
      <c r="M331" s="840"/>
    </row>
    <row r="332" spans="1:13" s="35" customFormat="1" ht="36.75" customHeight="1">
      <c r="A332" s="761"/>
      <c r="B332" s="32" t="s">
        <v>200</v>
      </c>
      <c r="C332" s="860"/>
      <c r="D332" s="34"/>
      <c r="E332" s="27">
        <f t="shared" si="49"/>
        <v>120.39425</v>
      </c>
      <c r="F332" s="30"/>
      <c r="G332" s="30"/>
      <c r="H332" s="30"/>
      <c r="I332" s="31"/>
      <c r="J332" s="347">
        <f>103.97004+16.42421</f>
        <v>120.39425</v>
      </c>
      <c r="K332" s="30"/>
      <c r="L332" s="861"/>
      <c r="M332" s="840"/>
    </row>
    <row r="333" spans="1:13" s="35" customFormat="1" ht="21" customHeight="1">
      <c r="A333" s="761"/>
      <c r="B333" s="32" t="s">
        <v>201</v>
      </c>
      <c r="C333" s="860"/>
      <c r="D333" s="34"/>
      <c r="E333" s="27">
        <f t="shared" si="49"/>
        <v>339.57832</v>
      </c>
      <c r="F333" s="30"/>
      <c r="G333" s="30"/>
      <c r="H333" s="30"/>
      <c r="I333" s="31"/>
      <c r="J333" s="347">
        <v>339.57832</v>
      </c>
      <c r="K333" s="30"/>
      <c r="L333" s="861"/>
      <c r="M333" s="840"/>
    </row>
    <row r="334" spans="1:13" s="35" customFormat="1" ht="32.25" customHeight="1" thickBot="1">
      <c r="A334" s="761"/>
      <c r="B334" s="43" t="s">
        <v>202</v>
      </c>
      <c r="C334" s="860"/>
      <c r="D334" s="34"/>
      <c r="E334" s="30">
        <f t="shared" si="49"/>
        <v>34.5</v>
      </c>
      <c r="F334" s="30"/>
      <c r="G334" s="30"/>
      <c r="H334" s="30"/>
      <c r="I334" s="31"/>
      <c r="J334" s="348">
        <f>50-15.5</f>
        <v>34.5</v>
      </c>
      <c r="K334" s="30"/>
      <c r="L334" s="44" t="s">
        <v>106</v>
      </c>
      <c r="M334" s="840"/>
    </row>
    <row r="335" spans="1:13" s="35" customFormat="1" ht="22.5" customHeight="1" thickBot="1">
      <c r="A335" s="761"/>
      <c r="B335" s="26"/>
      <c r="C335" s="221"/>
      <c r="D335" s="179">
        <v>2022</v>
      </c>
      <c r="E335" s="222">
        <f aca="true" t="shared" si="50" ref="E335:K335">E336</f>
        <v>0</v>
      </c>
      <c r="F335" s="222">
        <f t="shared" si="50"/>
        <v>0</v>
      </c>
      <c r="G335" s="222">
        <f t="shared" si="50"/>
        <v>0</v>
      </c>
      <c r="H335" s="222">
        <f t="shared" si="50"/>
        <v>0</v>
      </c>
      <c r="I335" s="222">
        <f t="shared" si="50"/>
        <v>0</v>
      </c>
      <c r="J335" s="222">
        <f t="shared" si="50"/>
        <v>0</v>
      </c>
      <c r="K335" s="223">
        <f t="shared" si="50"/>
        <v>0</v>
      </c>
      <c r="L335" s="224"/>
      <c r="M335" s="840"/>
    </row>
    <row r="336" spans="1:13" s="35" customFormat="1" ht="24.75" customHeight="1">
      <c r="A336" s="761"/>
      <c r="B336" s="865" t="s">
        <v>166</v>
      </c>
      <c r="C336" s="225" t="s">
        <v>119</v>
      </c>
      <c r="D336" s="226">
        <v>2022</v>
      </c>
      <c r="E336" s="227">
        <f aca="true" t="shared" si="51" ref="E336:E347">F336+G336+J336+K336</f>
        <v>0</v>
      </c>
      <c r="F336" s="227"/>
      <c r="G336" s="27">
        <f aca="true" t="shared" si="52" ref="G336:G347">H336+I336</f>
        <v>0</v>
      </c>
      <c r="H336" s="227"/>
      <c r="I336" s="228"/>
      <c r="J336" s="227">
        <v>0</v>
      </c>
      <c r="K336" s="227"/>
      <c r="L336" s="229" t="s">
        <v>171</v>
      </c>
      <c r="M336" s="840"/>
    </row>
    <row r="337" spans="1:13" s="35" customFormat="1" ht="30" customHeight="1">
      <c r="A337" s="761"/>
      <c r="B337" s="865"/>
      <c r="C337" s="470" t="s">
        <v>178</v>
      </c>
      <c r="D337" s="471">
        <v>2019</v>
      </c>
      <c r="E337" s="27">
        <f t="shared" si="51"/>
        <v>0</v>
      </c>
      <c r="F337" s="27"/>
      <c r="G337" s="27">
        <f t="shared" si="52"/>
        <v>0</v>
      </c>
      <c r="H337" s="27"/>
      <c r="I337" s="27"/>
      <c r="J337" s="28">
        <v>0</v>
      </c>
      <c r="K337" s="27"/>
      <c r="L337" s="230" t="s">
        <v>135</v>
      </c>
      <c r="M337" s="840"/>
    </row>
    <row r="338" spans="1:13" s="35" customFormat="1" ht="24.75" customHeight="1">
      <c r="A338" s="761"/>
      <c r="B338" s="866" t="s">
        <v>166</v>
      </c>
      <c r="C338" s="470"/>
      <c r="D338" s="471">
        <v>2020</v>
      </c>
      <c r="E338" s="28">
        <f t="shared" si="51"/>
        <v>0</v>
      </c>
      <c r="F338" s="27"/>
      <c r="G338" s="27">
        <f t="shared" si="52"/>
        <v>0</v>
      </c>
      <c r="H338" s="27"/>
      <c r="I338" s="28"/>
      <c r="J338" s="28">
        <v>0</v>
      </c>
      <c r="K338" s="27">
        <v>0</v>
      </c>
      <c r="L338" s="468" t="s">
        <v>171</v>
      </c>
      <c r="M338" s="840"/>
    </row>
    <row r="339" spans="1:13" s="35" customFormat="1" ht="24.75" customHeight="1">
      <c r="A339" s="761"/>
      <c r="B339" s="866"/>
      <c r="C339" s="470"/>
      <c r="D339" s="471">
        <v>2021</v>
      </c>
      <c r="E339" s="28">
        <f t="shared" si="51"/>
        <v>0</v>
      </c>
      <c r="F339" s="27"/>
      <c r="G339" s="27">
        <f t="shared" si="52"/>
        <v>0</v>
      </c>
      <c r="H339" s="27"/>
      <c r="I339" s="28"/>
      <c r="J339" s="28">
        <v>0</v>
      </c>
      <c r="K339" s="27">
        <v>0</v>
      </c>
      <c r="L339" s="468" t="s">
        <v>171</v>
      </c>
      <c r="M339" s="840"/>
    </row>
    <row r="340" spans="1:13" s="35" customFormat="1" ht="24.75" customHeight="1">
      <c r="A340" s="761"/>
      <c r="B340" s="866"/>
      <c r="C340" s="470"/>
      <c r="D340" s="471">
        <v>2022</v>
      </c>
      <c r="E340" s="28">
        <f t="shared" si="51"/>
        <v>0</v>
      </c>
      <c r="F340" s="27"/>
      <c r="G340" s="27">
        <f t="shared" si="52"/>
        <v>0</v>
      </c>
      <c r="H340" s="27"/>
      <c r="I340" s="28"/>
      <c r="J340" s="28">
        <v>0</v>
      </c>
      <c r="K340" s="27">
        <v>0</v>
      </c>
      <c r="L340" s="468" t="s">
        <v>171</v>
      </c>
      <c r="M340" s="840"/>
    </row>
    <row r="341" spans="1:13" s="35" customFormat="1" ht="24.75" customHeight="1">
      <c r="A341" s="760" t="s">
        <v>203</v>
      </c>
      <c r="B341" s="866"/>
      <c r="C341" s="470" t="s">
        <v>173</v>
      </c>
      <c r="D341" s="867">
        <v>2017</v>
      </c>
      <c r="E341" s="28">
        <f t="shared" si="51"/>
        <v>6400.301</v>
      </c>
      <c r="F341" s="27"/>
      <c r="G341" s="27">
        <f t="shared" si="52"/>
        <v>0</v>
      </c>
      <c r="H341" s="27"/>
      <c r="I341" s="28"/>
      <c r="J341" s="28">
        <v>6400.301</v>
      </c>
      <c r="K341" s="27">
        <v>0</v>
      </c>
      <c r="L341" s="468" t="s">
        <v>171</v>
      </c>
      <c r="M341" s="840"/>
    </row>
    <row r="342" spans="1:13" s="35" customFormat="1" ht="24.75" customHeight="1">
      <c r="A342" s="760"/>
      <c r="B342" s="763" t="s">
        <v>204</v>
      </c>
      <c r="C342" s="470" t="s">
        <v>175</v>
      </c>
      <c r="D342" s="867"/>
      <c r="E342" s="28">
        <f t="shared" si="51"/>
        <v>1458.533</v>
      </c>
      <c r="F342" s="27"/>
      <c r="G342" s="27">
        <f t="shared" si="52"/>
        <v>0</v>
      </c>
      <c r="H342" s="27"/>
      <c r="I342" s="28"/>
      <c r="J342" s="28">
        <v>1458.533</v>
      </c>
      <c r="K342" s="27">
        <v>0</v>
      </c>
      <c r="L342" s="468" t="s">
        <v>63</v>
      </c>
      <c r="M342" s="840"/>
    </row>
    <row r="343" spans="1:13" s="35" customFormat="1" ht="24.75" customHeight="1">
      <c r="A343" s="760" t="s">
        <v>205</v>
      </c>
      <c r="B343" s="763"/>
      <c r="C343" s="470" t="s">
        <v>27</v>
      </c>
      <c r="D343" s="854">
        <v>2017</v>
      </c>
      <c r="E343" s="28">
        <f t="shared" si="51"/>
        <v>2177.928</v>
      </c>
      <c r="F343" s="27"/>
      <c r="G343" s="231">
        <f t="shared" si="52"/>
        <v>0</v>
      </c>
      <c r="H343" s="231"/>
      <c r="I343" s="232"/>
      <c r="J343" s="232">
        <v>2177.928</v>
      </c>
      <c r="K343" s="231">
        <v>0</v>
      </c>
      <c r="L343" s="468" t="s">
        <v>171</v>
      </c>
      <c r="M343" s="840"/>
    </row>
    <row r="344" spans="1:13" s="35" customFormat="1" ht="27.75" customHeight="1">
      <c r="A344" s="760"/>
      <c r="B344" s="763" t="s">
        <v>206</v>
      </c>
      <c r="C344" s="470" t="s">
        <v>24</v>
      </c>
      <c r="D344" s="854"/>
      <c r="E344" s="28">
        <f t="shared" si="51"/>
        <v>431.162</v>
      </c>
      <c r="F344" s="27"/>
      <c r="G344" s="231">
        <f t="shared" si="52"/>
        <v>0</v>
      </c>
      <c r="H344" s="231"/>
      <c r="I344" s="232"/>
      <c r="J344" s="232">
        <v>431.162</v>
      </c>
      <c r="K344" s="231">
        <v>0</v>
      </c>
      <c r="L344" s="468" t="s">
        <v>63</v>
      </c>
      <c r="M344" s="840"/>
    </row>
    <row r="345" spans="1:13" s="35" customFormat="1" ht="24.75" customHeight="1">
      <c r="A345" s="760" t="s">
        <v>207</v>
      </c>
      <c r="B345" s="763"/>
      <c r="C345" s="470"/>
      <c r="D345" s="869">
        <v>2017</v>
      </c>
      <c r="E345" s="28">
        <f t="shared" si="51"/>
        <v>4135.29</v>
      </c>
      <c r="F345" s="27"/>
      <c r="G345" s="231">
        <f t="shared" si="52"/>
        <v>0</v>
      </c>
      <c r="H345" s="231"/>
      <c r="I345" s="232"/>
      <c r="J345" s="232">
        <v>4135.29</v>
      </c>
      <c r="K345" s="231">
        <v>0</v>
      </c>
      <c r="L345" s="861" t="s">
        <v>171</v>
      </c>
      <c r="M345" s="840"/>
    </row>
    <row r="346" spans="1:13" s="35" customFormat="1" ht="24.75" customHeight="1">
      <c r="A346" s="760"/>
      <c r="B346" s="763" t="s">
        <v>208</v>
      </c>
      <c r="C346" s="470" t="s">
        <v>167</v>
      </c>
      <c r="D346" s="869"/>
      <c r="E346" s="28">
        <f t="shared" si="51"/>
        <v>10933.428</v>
      </c>
      <c r="F346" s="27"/>
      <c r="G346" s="231">
        <f t="shared" si="52"/>
        <v>0</v>
      </c>
      <c r="H346" s="231"/>
      <c r="I346" s="232"/>
      <c r="J346" s="232">
        <v>10933.428</v>
      </c>
      <c r="K346" s="231">
        <v>0</v>
      </c>
      <c r="L346" s="861"/>
      <c r="M346" s="840"/>
    </row>
    <row r="347" spans="1:13" s="35" customFormat="1" ht="31.5" customHeight="1" thickBot="1">
      <c r="A347" s="760"/>
      <c r="B347" s="763"/>
      <c r="C347" s="470" t="s">
        <v>167</v>
      </c>
      <c r="D347" s="869"/>
      <c r="E347" s="31">
        <f t="shared" si="51"/>
        <v>897.642</v>
      </c>
      <c r="F347" s="30"/>
      <c r="G347" s="233">
        <f t="shared" si="52"/>
        <v>0</v>
      </c>
      <c r="H347" s="233"/>
      <c r="I347" s="234"/>
      <c r="J347" s="234">
        <v>897.642</v>
      </c>
      <c r="K347" s="233">
        <v>0</v>
      </c>
      <c r="L347" s="468" t="s">
        <v>63</v>
      </c>
      <c r="M347" s="840"/>
    </row>
    <row r="348" spans="1:13" s="35" customFormat="1" ht="24.75" customHeight="1" thickBot="1">
      <c r="A348" s="855" t="s">
        <v>209</v>
      </c>
      <c r="B348" s="763"/>
      <c r="C348" s="235"/>
      <c r="D348" s="478">
        <v>2018</v>
      </c>
      <c r="E348" s="222">
        <f>F348+J348+K348</f>
        <v>1130.874</v>
      </c>
      <c r="F348" s="236">
        <f aca="true" t="shared" si="53" ref="F348:K348">SUM(F349:F355)</f>
        <v>0</v>
      </c>
      <c r="G348" s="236">
        <f t="shared" si="53"/>
        <v>0</v>
      </c>
      <c r="H348" s="236">
        <f t="shared" si="53"/>
        <v>0</v>
      </c>
      <c r="I348" s="236">
        <f t="shared" si="53"/>
        <v>0</v>
      </c>
      <c r="J348" s="236">
        <f t="shared" si="53"/>
        <v>1130.874</v>
      </c>
      <c r="K348" s="237">
        <f t="shared" si="53"/>
        <v>0</v>
      </c>
      <c r="L348" s="238"/>
      <c r="M348" s="856" t="s">
        <v>210</v>
      </c>
    </row>
    <row r="349" spans="1:13" s="35" customFormat="1" ht="24.75" customHeight="1">
      <c r="A349" s="855"/>
      <c r="B349" s="857" t="s">
        <v>211</v>
      </c>
      <c r="C349" s="239"/>
      <c r="D349" s="240"/>
      <c r="E349" s="227">
        <f aca="true" t="shared" si="54" ref="E349:E355">F349+G349+J349+K349</f>
        <v>0</v>
      </c>
      <c r="F349" s="241"/>
      <c r="G349" s="242">
        <f aca="true" t="shared" si="55" ref="G349:G355">H349+I349</f>
        <v>0</v>
      </c>
      <c r="H349" s="243"/>
      <c r="I349" s="242">
        <v>0</v>
      </c>
      <c r="J349" s="242">
        <v>0</v>
      </c>
      <c r="K349" s="243"/>
      <c r="L349" s="244"/>
      <c r="M349" s="856"/>
    </row>
    <row r="350" spans="1:13" s="35" customFormat="1" ht="24.75" customHeight="1">
      <c r="A350" s="855"/>
      <c r="B350" s="857"/>
      <c r="C350" s="239" t="s">
        <v>212</v>
      </c>
      <c r="D350" s="467"/>
      <c r="E350" s="27">
        <f t="shared" si="54"/>
        <v>32.401</v>
      </c>
      <c r="F350" s="245"/>
      <c r="G350" s="231">
        <f t="shared" si="55"/>
        <v>0</v>
      </c>
      <c r="H350" s="231"/>
      <c r="I350" s="232"/>
      <c r="J350" s="27">
        <f>24+9.98-1.579</f>
        <v>32.401</v>
      </c>
      <c r="K350" s="231"/>
      <c r="L350" s="246" t="s">
        <v>212</v>
      </c>
      <c r="M350" s="856"/>
    </row>
    <row r="351" spans="1:13" s="35" customFormat="1" ht="24.75" customHeight="1">
      <c r="A351" s="855"/>
      <c r="B351" s="857"/>
      <c r="C351" s="239" t="s">
        <v>213</v>
      </c>
      <c r="D351" s="467"/>
      <c r="E351" s="27">
        <f t="shared" si="54"/>
        <v>202.33000000000004</v>
      </c>
      <c r="F351" s="245"/>
      <c r="G351" s="231">
        <f t="shared" si="55"/>
        <v>0</v>
      </c>
      <c r="H351" s="231"/>
      <c r="I351" s="232"/>
      <c r="J351" s="27">
        <f>304.8-99.63174-2.83826</f>
        <v>202.33000000000004</v>
      </c>
      <c r="K351" s="231"/>
      <c r="L351" s="246" t="s">
        <v>213</v>
      </c>
      <c r="M351" s="856"/>
    </row>
    <row r="352" spans="1:13" s="35" customFormat="1" ht="24.75" customHeight="1">
      <c r="A352" s="855"/>
      <c r="B352" s="857"/>
      <c r="C352" s="239" t="s">
        <v>214</v>
      </c>
      <c r="D352" s="467"/>
      <c r="E352" s="27">
        <f t="shared" si="54"/>
        <v>193.929</v>
      </c>
      <c r="F352" s="245"/>
      <c r="G352" s="231">
        <f t="shared" si="55"/>
        <v>0</v>
      </c>
      <c r="H352" s="231"/>
      <c r="I352" s="232"/>
      <c r="J352" s="231">
        <f>138.5+55.429</f>
        <v>193.929</v>
      </c>
      <c r="K352" s="231"/>
      <c r="L352" s="246" t="s">
        <v>214</v>
      </c>
      <c r="M352" s="856"/>
    </row>
    <row r="353" spans="1:13" s="35" customFormat="1" ht="24.75" customHeight="1">
      <c r="A353" s="855"/>
      <c r="B353" s="857"/>
      <c r="C353" s="239"/>
      <c r="D353" s="467"/>
      <c r="E353" s="27">
        <f t="shared" si="54"/>
        <v>522.2139999999999</v>
      </c>
      <c r="F353" s="245"/>
      <c r="G353" s="231">
        <f t="shared" si="55"/>
        <v>0</v>
      </c>
      <c r="H353" s="231"/>
      <c r="I353" s="232"/>
      <c r="J353" s="231">
        <f>874-134.152-30-249.634+62</f>
        <v>522.2139999999999</v>
      </c>
      <c r="K353" s="231"/>
      <c r="L353" s="246" t="s">
        <v>179</v>
      </c>
      <c r="M353" s="856"/>
    </row>
    <row r="354" spans="1:13" s="35" customFormat="1" ht="24.75" customHeight="1">
      <c r="A354" s="855"/>
      <c r="B354" s="857"/>
      <c r="C354" s="239"/>
      <c r="D354" s="467"/>
      <c r="E354" s="27">
        <f t="shared" si="54"/>
        <v>40</v>
      </c>
      <c r="F354" s="245"/>
      <c r="G354" s="231">
        <f t="shared" si="55"/>
        <v>0</v>
      </c>
      <c r="H354" s="231"/>
      <c r="I354" s="232"/>
      <c r="J354" s="231">
        <f>100-60</f>
        <v>40</v>
      </c>
      <c r="K354" s="231"/>
      <c r="L354" s="246" t="s">
        <v>124</v>
      </c>
      <c r="M354" s="856"/>
    </row>
    <row r="355" spans="1:13" s="35" customFormat="1" ht="24.75" customHeight="1" thickBot="1">
      <c r="A355" s="855"/>
      <c r="B355" s="857"/>
      <c r="C355" s="247"/>
      <c r="D355" s="472"/>
      <c r="E355" s="30">
        <f t="shared" si="54"/>
        <v>140</v>
      </c>
      <c r="F355" s="248"/>
      <c r="G355" s="233">
        <f t="shared" si="55"/>
        <v>0</v>
      </c>
      <c r="H355" s="233"/>
      <c r="I355" s="234"/>
      <c r="J355" s="233">
        <f>165-25</f>
        <v>140</v>
      </c>
      <c r="K355" s="233"/>
      <c r="L355" s="249" t="s">
        <v>106</v>
      </c>
      <c r="M355" s="856"/>
    </row>
    <row r="356" spans="1:13" s="35" customFormat="1" ht="26.25" customHeight="1" thickBot="1">
      <c r="A356" s="855"/>
      <c r="B356" s="857"/>
      <c r="C356" s="221"/>
      <c r="D356" s="478">
        <v>2019</v>
      </c>
      <c r="E356" s="236">
        <f aca="true" t="shared" si="56" ref="E356:K356">SUM(E357:E358)</f>
        <v>195.01735000000002</v>
      </c>
      <c r="F356" s="236">
        <f t="shared" si="56"/>
        <v>0</v>
      </c>
      <c r="G356" s="236">
        <f t="shared" si="56"/>
        <v>0</v>
      </c>
      <c r="H356" s="236">
        <f t="shared" si="56"/>
        <v>0</v>
      </c>
      <c r="I356" s="236">
        <f t="shared" si="56"/>
        <v>0</v>
      </c>
      <c r="J356" s="236">
        <f t="shared" si="56"/>
        <v>195.01735000000002</v>
      </c>
      <c r="K356" s="237">
        <f t="shared" si="56"/>
        <v>0</v>
      </c>
      <c r="L356" s="250"/>
      <c r="M356" s="858"/>
    </row>
    <row r="357" spans="1:13" s="35" customFormat="1" ht="33" customHeight="1">
      <c r="A357" s="855"/>
      <c r="B357" s="857"/>
      <c r="C357" s="251" t="s">
        <v>214</v>
      </c>
      <c r="D357" s="240">
        <v>2019</v>
      </c>
      <c r="E357" s="242">
        <f>F357+G357+J357</f>
        <v>126.36635000000001</v>
      </c>
      <c r="F357" s="242"/>
      <c r="G357" s="242">
        <f>H357+I357</f>
        <v>0</v>
      </c>
      <c r="H357" s="242"/>
      <c r="I357" s="242"/>
      <c r="J357" s="242">
        <f>400-273.63365</f>
        <v>126.36635000000001</v>
      </c>
      <c r="K357" s="243"/>
      <c r="L357" s="252" t="s">
        <v>214</v>
      </c>
      <c r="M357" s="858"/>
    </row>
    <row r="358" spans="1:13" s="35" customFormat="1" ht="33" customHeight="1" thickBot="1">
      <c r="A358" s="855"/>
      <c r="B358" s="857"/>
      <c r="C358" s="253" t="s">
        <v>27</v>
      </c>
      <c r="D358" s="254">
        <v>2019</v>
      </c>
      <c r="E358" s="233">
        <f>F358+G358+J358</f>
        <v>68.651</v>
      </c>
      <c r="F358" s="233"/>
      <c r="G358" s="233">
        <f>H358+I358</f>
        <v>0</v>
      </c>
      <c r="H358" s="233"/>
      <c r="I358" s="233"/>
      <c r="J358" s="233">
        <v>68.651</v>
      </c>
      <c r="K358" s="234"/>
      <c r="L358" s="255" t="s">
        <v>27</v>
      </c>
      <c r="M358" s="858"/>
    </row>
    <row r="359" spans="1:13" s="35" customFormat="1" ht="24.75" customHeight="1" thickBot="1">
      <c r="A359" s="855"/>
      <c r="B359" s="857"/>
      <c r="C359" s="256"/>
      <c r="D359" s="257">
        <v>2020</v>
      </c>
      <c r="E359" s="222">
        <f>F359+G359+J359+K359</f>
        <v>303.52299999999997</v>
      </c>
      <c r="F359" s="222">
        <v>0</v>
      </c>
      <c r="G359" s="222">
        <v>0</v>
      </c>
      <c r="H359" s="222">
        <v>0</v>
      </c>
      <c r="I359" s="222">
        <v>0</v>
      </c>
      <c r="J359" s="222">
        <f>SUM(J360:J362)</f>
        <v>303.52299999999997</v>
      </c>
      <c r="K359" s="223">
        <v>0</v>
      </c>
      <c r="L359" s="258"/>
      <c r="M359" s="858"/>
    </row>
    <row r="360" spans="1:13" s="35" customFormat="1" ht="24.75" customHeight="1">
      <c r="A360" s="855"/>
      <c r="B360" s="857"/>
      <c r="C360" s="259" t="s">
        <v>179</v>
      </c>
      <c r="D360" s="475"/>
      <c r="E360" s="260">
        <f>F360+G360+J360+K360</f>
        <v>0</v>
      </c>
      <c r="F360" s="227"/>
      <c r="G360" s="227">
        <f>H360+I360</f>
        <v>0</v>
      </c>
      <c r="H360" s="227"/>
      <c r="I360" s="228"/>
      <c r="J360" s="227">
        <f>67.144-67.144</f>
        <v>0</v>
      </c>
      <c r="K360" s="227"/>
      <c r="L360" s="261" t="s">
        <v>171</v>
      </c>
      <c r="M360" s="858"/>
    </row>
    <row r="361" spans="1:13" s="35" customFormat="1" ht="24.75" customHeight="1">
      <c r="A361" s="855"/>
      <c r="B361" s="857"/>
      <c r="C361" s="259" t="s">
        <v>119</v>
      </c>
      <c r="D361" s="475"/>
      <c r="E361" s="227">
        <f>F361+G361+J361+K361</f>
        <v>248.093</v>
      </c>
      <c r="F361" s="227"/>
      <c r="G361" s="227">
        <f>H361+I361</f>
        <v>0</v>
      </c>
      <c r="H361" s="227"/>
      <c r="I361" s="228"/>
      <c r="J361" s="227">
        <f>250-1.907</f>
        <v>248.093</v>
      </c>
      <c r="K361" s="227"/>
      <c r="L361" s="262" t="s">
        <v>119</v>
      </c>
      <c r="M361" s="858"/>
    </row>
    <row r="362" spans="1:13" s="35" customFormat="1" ht="24.75" customHeight="1" thickBot="1">
      <c r="A362" s="855"/>
      <c r="B362" s="857"/>
      <c r="C362" s="263" t="s">
        <v>120</v>
      </c>
      <c r="D362" s="472"/>
      <c r="E362" s="264">
        <f>F362+G362+J362+K362</f>
        <v>55.43</v>
      </c>
      <c r="F362" s="30"/>
      <c r="G362" s="264">
        <f>H362+I362</f>
        <v>0</v>
      </c>
      <c r="H362" s="30"/>
      <c r="I362" s="31"/>
      <c r="J362" s="30">
        <v>55.43</v>
      </c>
      <c r="K362" s="30"/>
      <c r="L362" s="265" t="s">
        <v>120</v>
      </c>
      <c r="M362" s="858"/>
    </row>
    <row r="363" spans="1:13" s="35" customFormat="1" ht="24.75" customHeight="1" thickBot="1">
      <c r="A363" s="855"/>
      <c r="B363" s="857"/>
      <c r="C363" s="266"/>
      <c r="D363" s="257">
        <v>2021</v>
      </c>
      <c r="E363" s="222">
        <f>F363+J363+K363</f>
        <v>457.14</v>
      </c>
      <c r="F363" s="222">
        <v>0</v>
      </c>
      <c r="G363" s="222">
        <f>H363+I363</f>
        <v>0</v>
      </c>
      <c r="H363" s="222">
        <v>0</v>
      </c>
      <c r="I363" s="222">
        <v>0</v>
      </c>
      <c r="J363" s="222">
        <f>SUM(J364:J368)</f>
        <v>457.14</v>
      </c>
      <c r="K363" s="222">
        <v>0</v>
      </c>
      <c r="L363" s="267"/>
      <c r="M363" s="858"/>
    </row>
    <row r="364" spans="1:13" s="35" customFormat="1" ht="49.5" customHeight="1" thickBot="1">
      <c r="A364" s="855"/>
      <c r="B364" s="268" t="s">
        <v>215</v>
      </c>
      <c r="C364" s="781" t="s">
        <v>118</v>
      </c>
      <c r="D364" s="269"/>
      <c r="E364" s="270">
        <f aca="true" t="shared" si="57" ref="E364:E372">F364+G364+J364+K364</f>
        <v>101.43</v>
      </c>
      <c r="F364" s="270"/>
      <c r="G364" s="270">
        <v>0</v>
      </c>
      <c r="H364" s="270"/>
      <c r="I364" s="270"/>
      <c r="J364" s="45">
        <f>80+3.43+18</f>
        <v>101.43</v>
      </c>
      <c r="K364" s="270"/>
      <c r="L364" s="781" t="s">
        <v>118</v>
      </c>
      <c r="M364" s="858"/>
    </row>
    <row r="365" spans="1:13" s="35" customFormat="1" ht="18.75" customHeight="1" thickBot="1">
      <c r="A365" s="855"/>
      <c r="B365" s="268" t="s">
        <v>216</v>
      </c>
      <c r="C365" s="781"/>
      <c r="D365" s="269"/>
      <c r="E365" s="270">
        <f t="shared" si="57"/>
        <v>196.57</v>
      </c>
      <c r="F365" s="270"/>
      <c r="G365" s="270">
        <v>0</v>
      </c>
      <c r="H365" s="270"/>
      <c r="I365" s="271"/>
      <c r="J365" s="380">
        <f>200-3.43</f>
        <v>196.57</v>
      </c>
      <c r="K365" s="272"/>
      <c r="L365" s="781"/>
      <c r="M365" s="858"/>
    </row>
    <row r="366" spans="1:13" s="35" customFormat="1" ht="18.75" customHeight="1" thickBot="1">
      <c r="A366" s="855"/>
      <c r="B366" s="235" t="s">
        <v>217</v>
      </c>
      <c r="C366" s="859"/>
      <c r="D366" s="269"/>
      <c r="E366" s="270">
        <f t="shared" si="57"/>
        <v>52</v>
      </c>
      <c r="F366" s="270"/>
      <c r="G366" s="270">
        <v>0</v>
      </c>
      <c r="H366" s="270"/>
      <c r="I366" s="270"/>
      <c r="J366" s="381">
        <f>70-18</f>
        <v>52</v>
      </c>
      <c r="K366" s="270"/>
      <c r="L366" s="781"/>
      <c r="M366" s="858"/>
    </row>
    <row r="367" spans="1:13" s="25" customFormat="1" ht="37.5" customHeight="1" thickBot="1">
      <c r="A367" s="855"/>
      <c r="B367" s="575" t="s">
        <v>218</v>
      </c>
      <c r="C367" s="862" t="s">
        <v>179</v>
      </c>
      <c r="D367" s="169"/>
      <c r="E367" s="270">
        <f t="shared" si="57"/>
        <v>67.14</v>
      </c>
      <c r="F367" s="273"/>
      <c r="G367" s="274"/>
      <c r="H367" s="275"/>
      <c r="I367" s="276"/>
      <c r="J367" s="382">
        <v>67.14</v>
      </c>
      <c r="K367" s="276"/>
      <c r="L367" s="864" t="s">
        <v>179</v>
      </c>
      <c r="M367" s="858"/>
    </row>
    <row r="368" spans="1:13" s="25" customFormat="1" ht="34.5" customHeight="1" thickBot="1">
      <c r="A368" s="855"/>
      <c r="B368" s="576" t="s">
        <v>219</v>
      </c>
      <c r="C368" s="863"/>
      <c r="D368" s="169"/>
      <c r="E368" s="270">
        <f t="shared" si="57"/>
        <v>40</v>
      </c>
      <c r="F368" s="276"/>
      <c r="G368" s="276"/>
      <c r="H368" s="276"/>
      <c r="I368" s="276"/>
      <c r="J368" s="382">
        <v>40</v>
      </c>
      <c r="K368" s="276"/>
      <c r="L368" s="864"/>
      <c r="M368" s="858"/>
    </row>
    <row r="369" spans="1:13" s="25" customFormat="1" ht="18.75" customHeight="1" thickBot="1">
      <c r="A369" s="855"/>
      <c r="B369" s="277"/>
      <c r="C369" s="278"/>
      <c r="D369" s="169"/>
      <c r="E369" s="270">
        <f t="shared" si="57"/>
        <v>0</v>
      </c>
      <c r="F369" s="276"/>
      <c r="G369" s="276"/>
      <c r="H369" s="276"/>
      <c r="I369" s="276"/>
      <c r="J369" s="276">
        <v>0</v>
      </c>
      <c r="K369" s="276"/>
      <c r="L369" s="279"/>
      <c r="M369" s="858"/>
    </row>
    <row r="370" spans="1:13" s="25" customFormat="1" ht="18.75" customHeight="1" thickBot="1">
      <c r="A370" s="855"/>
      <c r="B370" s="277"/>
      <c r="C370" s="280"/>
      <c r="D370" s="169"/>
      <c r="E370" s="270">
        <f t="shared" si="57"/>
        <v>0</v>
      </c>
      <c r="F370" s="276"/>
      <c r="G370" s="276"/>
      <c r="H370" s="276"/>
      <c r="I370" s="276"/>
      <c r="J370" s="276">
        <v>0</v>
      </c>
      <c r="K370" s="276"/>
      <c r="L370" s="279"/>
      <c r="M370" s="858"/>
    </row>
    <row r="371" spans="1:13" s="25" customFormat="1" ht="18.75" customHeight="1" thickBot="1">
      <c r="A371" s="855"/>
      <c r="B371" s="277"/>
      <c r="C371" s="280"/>
      <c r="D371" s="169"/>
      <c r="E371" s="270">
        <f t="shared" si="57"/>
        <v>0</v>
      </c>
      <c r="F371" s="276"/>
      <c r="G371" s="276"/>
      <c r="H371" s="276"/>
      <c r="I371" s="276"/>
      <c r="J371" s="276">
        <v>0</v>
      </c>
      <c r="K371" s="276"/>
      <c r="L371" s="279"/>
      <c r="M371" s="858"/>
    </row>
    <row r="372" spans="1:13" s="25" customFormat="1" ht="18.75" customHeight="1" thickBot="1">
      <c r="A372" s="855"/>
      <c r="B372" s="277"/>
      <c r="C372" s="280"/>
      <c r="D372" s="169"/>
      <c r="E372" s="270">
        <f t="shared" si="57"/>
        <v>0</v>
      </c>
      <c r="F372" s="276"/>
      <c r="G372" s="276"/>
      <c r="H372" s="276"/>
      <c r="I372" s="276"/>
      <c r="J372" s="276">
        <v>0</v>
      </c>
      <c r="K372" s="276"/>
      <c r="L372" s="279"/>
      <c r="M372" s="858"/>
    </row>
    <row r="373" spans="1:13" s="25" customFormat="1" ht="24.75" customHeight="1" thickBot="1">
      <c r="A373" s="855"/>
      <c r="B373" s="277"/>
      <c r="C373" s="281"/>
      <c r="D373" s="169">
        <v>2022</v>
      </c>
      <c r="E373" s="276">
        <f>F373+G373+K373</f>
        <v>0</v>
      </c>
      <c r="F373" s="276">
        <v>0</v>
      </c>
      <c r="G373" s="276">
        <f>H373+I373</f>
        <v>0</v>
      </c>
      <c r="H373" s="276">
        <v>0</v>
      </c>
      <c r="I373" s="276">
        <v>0</v>
      </c>
      <c r="J373" s="276">
        <v>0</v>
      </c>
      <c r="K373" s="276">
        <v>0</v>
      </c>
      <c r="L373" s="282"/>
      <c r="M373" s="858"/>
    </row>
    <row r="374" spans="1:13" s="25" customFormat="1" ht="28.5" customHeight="1" thickBot="1">
      <c r="A374" s="761" t="s">
        <v>220</v>
      </c>
      <c r="B374" s="277"/>
      <c r="C374" s="283"/>
      <c r="D374" s="167">
        <v>2019</v>
      </c>
      <c r="E374" s="284">
        <f aca="true" t="shared" si="58" ref="E374:K374">E379+E380+E381+E382+E383+E384+E385+E386</f>
        <v>498</v>
      </c>
      <c r="F374" s="284">
        <f t="shared" si="58"/>
        <v>0</v>
      </c>
      <c r="G374" s="284">
        <f t="shared" si="58"/>
        <v>473.00000000000006</v>
      </c>
      <c r="H374" s="284">
        <f t="shared" si="58"/>
        <v>0</v>
      </c>
      <c r="I374" s="284">
        <f t="shared" si="58"/>
        <v>473.00000000000006</v>
      </c>
      <c r="J374" s="284">
        <f t="shared" si="58"/>
        <v>25</v>
      </c>
      <c r="K374" s="285">
        <f t="shared" si="58"/>
        <v>0</v>
      </c>
      <c r="L374" s="286"/>
      <c r="M374" s="621"/>
    </row>
    <row r="375" spans="1:13" s="25" customFormat="1" ht="33" customHeight="1">
      <c r="A375" s="761"/>
      <c r="B375" s="762" t="s">
        <v>221</v>
      </c>
      <c r="C375" s="206"/>
      <c r="D375" s="287">
        <v>2020</v>
      </c>
      <c r="E375" s="490">
        <f aca="true" t="shared" si="59" ref="E375:E386">F375+G375+J375+K375</f>
        <v>0</v>
      </c>
      <c r="F375" s="209">
        <v>0</v>
      </c>
      <c r="G375" s="209">
        <v>0</v>
      </c>
      <c r="H375" s="209">
        <v>0</v>
      </c>
      <c r="I375" s="209">
        <v>0</v>
      </c>
      <c r="J375" s="209">
        <v>0</v>
      </c>
      <c r="K375" s="209">
        <v>0</v>
      </c>
      <c r="L375" s="288"/>
      <c r="M375" s="621"/>
    </row>
    <row r="376" spans="1:13" s="25" customFormat="1" ht="31.5" customHeight="1">
      <c r="A376" s="761"/>
      <c r="B376" s="762"/>
      <c r="C376" s="23"/>
      <c r="D376" s="464">
        <v>2021</v>
      </c>
      <c r="E376" s="490">
        <f t="shared" si="59"/>
        <v>0</v>
      </c>
      <c r="F376" s="490">
        <v>0</v>
      </c>
      <c r="G376" s="490">
        <v>0</v>
      </c>
      <c r="H376" s="490">
        <v>0</v>
      </c>
      <c r="I376" s="490">
        <v>0</v>
      </c>
      <c r="J376" s="490">
        <v>0</v>
      </c>
      <c r="K376" s="490">
        <v>0</v>
      </c>
      <c r="L376" s="288"/>
      <c r="M376" s="621"/>
    </row>
    <row r="377" spans="1:13" s="25" customFormat="1" ht="25.5" customHeight="1">
      <c r="A377" s="761"/>
      <c r="B377" s="762"/>
      <c r="C377" s="23"/>
      <c r="D377" s="464">
        <v>2022</v>
      </c>
      <c r="E377" s="490">
        <f t="shared" si="59"/>
        <v>0</v>
      </c>
      <c r="F377" s="490">
        <v>0</v>
      </c>
      <c r="G377" s="490">
        <v>0</v>
      </c>
      <c r="H377" s="490">
        <v>0</v>
      </c>
      <c r="I377" s="490">
        <v>0</v>
      </c>
      <c r="J377" s="490">
        <v>0</v>
      </c>
      <c r="K377" s="490">
        <v>0</v>
      </c>
      <c r="L377" s="288"/>
      <c r="M377" s="621"/>
    </row>
    <row r="378" spans="1:13" s="25" customFormat="1" ht="25.5" customHeight="1">
      <c r="A378" s="761"/>
      <c r="B378" s="762"/>
      <c r="C378" s="23"/>
      <c r="D378" s="464">
        <v>2023</v>
      </c>
      <c r="E378" s="490">
        <f t="shared" si="59"/>
        <v>0</v>
      </c>
      <c r="F378" s="490"/>
      <c r="G378" s="490">
        <f aca="true" t="shared" si="60" ref="G378:G386">H378+I378</f>
        <v>0</v>
      </c>
      <c r="H378" s="490"/>
      <c r="I378" s="490"/>
      <c r="J378" s="490"/>
      <c r="K378" s="490"/>
      <c r="L378" s="288"/>
      <c r="M378" s="621"/>
    </row>
    <row r="379" spans="1:13" s="25" customFormat="1" ht="43.5" customHeight="1">
      <c r="A379" s="761" t="s">
        <v>222</v>
      </c>
      <c r="B379" s="762"/>
      <c r="C379" s="474" t="s">
        <v>27</v>
      </c>
      <c r="D379" s="75">
        <v>2019</v>
      </c>
      <c r="E379" s="194">
        <f t="shared" si="59"/>
        <v>8.6</v>
      </c>
      <c r="F379" s="194"/>
      <c r="G379" s="194">
        <f t="shared" si="60"/>
        <v>0</v>
      </c>
      <c r="H379" s="194"/>
      <c r="I379" s="194">
        <v>0</v>
      </c>
      <c r="J379" s="194">
        <v>8.6</v>
      </c>
      <c r="K379" s="194">
        <v>0</v>
      </c>
      <c r="L379" s="289" t="s">
        <v>179</v>
      </c>
      <c r="M379" s="840"/>
    </row>
    <row r="380" spans="1:13" s="25" customFormat="1" ht="42.75" customHeight="1">
      <c r="A380" s="761"/>
      <c r="B380" s="290" t="s">
        <v>223</v>
      </c>
      <c r="C380" s="474" t="s">
        <v>24</v>
      </c>
      <c r="D380" s="75">
        <v>2019</v>
      </c>
      <c r="E380" s="194">
        <f t="shared" si="59"/>
        <v>15.4</v>
      </c>
      <c r="F380" s="194"/>
      <c r="G380" s="194">
        <f t="shared" si="60"/>
        <v>15.4</v>
      </c>
      <c r="H380" s="194"/>
      <c r="I380" s="194">
        <v>15.4</v>
      </c>
      <c r="J380" s="194">
        <v>0</v>
      </c>
      <c r="K380" s="194">
        <v>0</v>
      </c>
      <c r="L380" s="289" t="s">
        <v>124</v>
      </c>
      <c r="M380" s="840"/>
    </row>
    <row r="381" spans="1:13" s="25" customFormat="1" ht="66" customHeight="1">
      <c r="A381" s="641" t="s">
        <v>224</v>
      </c>
      <c r="B381" s="291" t="s">
        <v>225</v>
      </c>
      <c r="C381" s="474" t="s">
        <v>27</v>
      </c>
      <c r="D381" s="75">
        <v>2019</v>
      </c>
      <c r="E381" s="194">
        <f t="shared" si="59"/>
        <v>137.612</v>
      </c>
      <c r="F381" s="194"/>
      <c r="G381" s="194">
        <f t="shared" si="60"/>
        <v>137.612</v>
      </c>
      <c r="H381" s="194"/>
      <c r="I381" s="194">
        <v>137.612</v>
      </c>
      <c r="J381" s="194">
        <v>0</v>
      </c>
      <c r="K381" s="194">
        <v>0</v>
      </c>
      <c r="L381" s="289" t="s">
        <v>179</v>
      </c>
      <c r="M381" s="621" t="s">
        <v>226</v>
      </c>
    </row>
    <row r="382" spans="1:13" s="25" customFormat="1" ht="51" customHeight="1">
      <c r="A382" s="641" t="s">
        <v>227</v>
      </c>
      <c r="B382" s="292" t="s">
        <v>228</v>
      </c>
      <c r="C382" s="474" t="s">
        <v>27</v>
      </c>
      <c r="D382" s="75">
        <v>2019</v>
      </c>
      <c r="E382" s="194">
        <f t="shared" si="59"/>
        <v>131.693</v>
      </c>
      <c r="F382" s="194"/>
      <c r="G382" s="194">
        <f t="shared" si="60"/>
        <v>131.693</v>
      </c>
      <c r="H382" s="194"/>
      <c r="I382" s="194">
        <f>120.581+11.112</f>
        <v>131.693</v>
      </c>
      <c r="J382" s="194">
        <v>0</v>
      </c>
      <c r="K382" s="194">
        <v>0</v>
      </c>
      <c r="L382" s="289" t="s">
        <v>179</v>
      </c>
      <c r="M382" s="840" t="s">
        <v>229</v>
      </c>
    </row>
    <row r="383" spans="1:13" s="25" customFormat="1" ht="81.75" customHeight="1">
      <c r="A383" s="761" t="s">
        <v>230</v>
      </c>
      <c r="B383" s="292" t="s">
        <v>231</v>
      </c>
      <c r="C383" s="474" t="s">
        <v>27</v>
      </c>
      <c r="D383" s="75">
        <v>2019</v>
      </c>
      <c r="E383" s="194">
        <f t="shared" si="59"/>
        <v>44.018</v>
      </c>
      <c r="F383" s="194"/>
      <c r="G383" s="194">
        <f t="shared" si="60"/>
        <v>36.039</v>
      </c>
      <c r="H383" s="194"/>
      <c r="I383" s="194">
        <f>44.018-7.979</f>
        <v>36.039</v>
      </c>
      <c r="J383" s="194">
        <f>16.579-8.6</f>
        <v>7.979000000000001</v>
      </c>
      <c r="K383" s="194">
        <v>0</v>
      </c>
      <c r="L383" s="289" t="s">
        <v>179</v>
      </c>
      <c r="M383" s="840"/>
    </row>
    <row r="384" spans="1:13" s="25" customFormat="1" ht="77.25" customHeight="1">
      <c r="A384" s="761"/>
      <c r="B384" s="292" t="s">
        <v>232</v>
      </c>
      <c r="C384" s="474" t="s">
        <v>27</v>
      </c>
      <c r="D384" s="75">
        <v>2019</v>
      </c>
      <c r="E384" s="194">
        <f t="shared" si="59"/>
        <v>7.656000000000001</v>
      </c>
      <c r="F384" s="194"/>
      <c r="G384" s="194">
        <f t="shared" si="60"/>
        <v>7.656000000000001</v>
      </c>
      <c r="H384" s="194"/>
      <c r="I384" s="194">
        <f>18.768-11.112</f>
        <v>7.656000000000001</v>
      </c>
      <c r="J384" s="194"/>
      <c r="K384" s="194"/>
      <c r="L384" s="289" t="s">
        <v>233</v>
      </c>
      <c r="M384" s="621"/>
    </row>
    <row r="385" spans="1:13" s="25" customFormat="1" ht="57" customHeight="1">
      <c r="A385" s="761"/>
      <c r="B385" s="463" t="s">
        <v>234</v>
      </c>
      <c r="C385" s="474" t="s">
        <v>24</v>
      </c>
      <c r="D385" s="75">
        <v>2019</v>
      </c>
      <c r="E385" s="194">
        <f t="shared" si="59"/>
        <v>10.74</v>
      </c>
      <c r="F385" s="194"/>
      <c r="G385" s="194">
        <f t="shared" si="60"/>
        <v>10.74</v>
      </c>
      <c r="H385" s="194"/>
      <c r="I385" s="194">
        <v>10.74</v>
      </c>
      <c r="J385" s="194">
        <v>0</v>
      </c>
      <c r="K385" s="194">
        <v>0</v>
      </c>
      <c r="L385" s="289" t="s">
        <v>124</v>
      </c>
      <c r="M385" s="621" t="s">
        <v>235</v>
      </c>
    </row>
    <row r="386" spans="1:13" s="25" customFormat="1" ht="75.75" customHeight="1">
      <c r="A386" s="641" t="s">
        <v>236</v>
      </c>
      <c r="B386" s="463" t="s">
        <v>237</v>
      </c>
      <c r="C386" s="474" t="s">
        <v>24</v>
      </c>
      <c r="D386" s="75">
        <v>2019</v>
      </c>
      <c r="E386" s="194">
        <f t="shared" si="59"/>
        <v>142.281</v>
      </c>
      <c r="F386" s="194"/>
      <c r="G386" s="194">
        <f t="shared" si="60"/>
        <v>133.86</v>
      </c>
      <c r="H386" s="194"/>
      <c r="I386" s="194">
        <v>133.86</v>
      </c>
      <c r="J386" s="194">
        <v>8.421</v>
      </c>
      <c r="K386" s="194">
        <v>0</v>
      </c>
      <c r="L386" s="289" t="s">
        <v>124</v>
      </c>
      <c r="M386" s="621" t="s">
        <v>238</v>
      </c>
    </row>
    <row r="387" spans="1:13" s="294" customFormat="1" ht="62.25" customHeight="1">
      <c r="A387" s="626" t="s">
        <v>239</v>
      </c>
      <c r="B387" s="463" t="s">
        <v>240</v>
      </c>
      <c r="C387" s="293"/>
      <c r="D387" s="487">
        <v>2019</v>
      </c>
      <c r="E387" s="490">
        <f aca="true" t="shared" si="61" ref="E387:K387">E388+E389</f>
        <v>1013.9999999999999</v>
      </c>
      <c r="F387" s="490">
        <f t="shared" si="61"/>
        <v>0</v>
      </c>
      <c r="G387" s="490">
        <f t="shared" si="61"/>
        <v>963</v>
      </c>
      <c r="H387" s="490">
        <f t="shared" si="61"/>
        <v>0</v>
      </c>
      <c r="I387" s="490">
        <f t="shared" si="61"/>
        <v>963</v>
      </c>
      <c r="J387" s="490">
        <f t="shared" si="61"/>
        <v>51</v>
      </c>
      <c r="K387" s="490">
        <f t="shared" si="61"/>
        <v>0</v>
      </c>
      <c r="L387" s="288"/>
      <c r="M387" s="642"/>
    </row>
    <row r="388" spans="1:13" s="25" customFormat="1" ht="54" customHeight="1">
      <c r="A388" s="641" t="s">
        <v>241</v>
      </c>
      <c r="B388" s="295" t="s">
        <v>242</v>
      </c>
      <c r="C388" s="474"/>
      <c r="D388" s="296">
        <v>2019</v>
      </c>
      <c r="E388" s="486">
        <f>F388+G388+J388+K388</f>
        <v>800.0321799999999</v>
      </c>
      <c r="F388" s="297"/>
      <c r="G388" s="486">
        <f>H388+I388</f>
        <v>760.03</v>
      </c>
      <c r="H388" s="298"/>
      <c r="I388" s="299">
        <f>765.502-5.472</f>
        <v>760.03</v>
      </c>
      <c r="J388" s="300">
        <f>40.2898-0.28762</f>
        <v>40.00218</v>
      </c>
      <c r="K388" s="297"/>
      <c r="L388" s="301" t="s">
        <v>177</v>
      </c>
      <c r="M388" s="846" t="s">
        <v>243</v>
      </c>
    </row>
    <row r="389" spans="1:13" s="25" customFormat="1" ht="54.75" customHeight="1">
      <c r="A389" s="643" t="s">
        <v>244</v>
      </c>
      <c r="B389" s="474" t="s">
        <v>242</v>
      </c>
      <c r="C389" s="302"/>
      <c r="D389" s="296">
        <v>2019</v>
      </c>
      <c r="E389" s="163">
        <f>F389+G389+J389+K389</f>
        <v>213.96782</v>
      </c>
      <c r="F389" s="303"/>
      <c r="G389" s="163">
        <f>H389+I389</f>
        <v>202.97</v>
      </c>
      <c r="H389" s="304"/>
      <c r="I389" s="305">
        <f>197.498+5.472</f>
        <v>202.97</v>
      </c>
      <c r="J389" s="306">
        <f>10.7102+0.28762</f>
        <v>10.99782</v>
      </c>
      <c r="K389" s="303"/>
      <c r="L389" s="307" t="s">
        <v>245</v>
      </c>
      <c r="M389" s="846"/>
    </row>
    <row r="390" spans="1:13" s="25" customFormat="1" ht="44.25" customHeight="1">
      <c r="A390" s="850" t="s">
        <v>246</v>
      </c>
      <c r="B390" s="308" t="s">
        <v>242</v>
      </c>
      <c r="C390" s="77"/>
      <c r="D390" s="29">
        <v>2020</v>
      </c>
      <c r="E390" s="309">
        <f aca="true" t="shared" si="62" ref="E390:K390">E393+E394+E395+++++E397+E403+E404+E405+E406</f>
        <v>0</v>
      </c>
      <c r="F390" s="309">
        <f t="shared" si="62"/>
        <v>0</v>
      </c>
      <c r="G390" s="309">
        <f t="shared" si="62"/>
        <v>0</v>
      </c>
      <c r="H390" s="309">
        <f t="shared" si="62"/>
        <v>0</v>
      </c>
      <c r="I390" s="309">
        <f t="shared" si="62"/>
        <v>0</v>
      </c>
      <c r="J390" s="309">
        <f t="shared" si="62"/>
        <v>0</v>
      </c>
      <c r="K390" s="309">
        <f t="shared" si="62"/>
        <v>0</v>
      </c>
      <c r="L390" s="307"/>
      <c r="M390" s="644">
        <v>1377</v>
      </c>
    </row>
    <row r="391" spans="1:13" s="25" customFormat="1" ht="39" customHeight="1">
      <c r="A391" s="850"/>
      <c r="B391" s="851" t="s">
        <v>247</v>
      </c>
      <c r="C391" s="77"/>
      <c r="D391" s="29">
        <v>2021</v>
      </c>
      <c r="E391" s="309">
        <f aca="true" t="shared" si="63" ref="E391:K391">E396+E398+E399+E400+E401+E402</f>
        <v>0</v>
      </c>
      <c r="F391" s="309">
        <f t="shared" si="63"/>
        <v>0</v>
      </c>
      <c r="G391" s="309">
        <f t="shared" si="63"/>
        <v>0</v>
      </c>
      <c r="H391" s="309">
        <f t="shared" si="63"/>
        <v>0</v>
      </c>
      <c r="I391" s="309">
        <f t="shared" si="63"/>
        <v>0</v>
      </c>
      <c r="J391" s="309">
        <f t="shared" si="63"/>
        <v>0</v>
      </c>
      <c r="K391" s="309">
        <f t="shared" si="63"/>
        <v>0</v>
      </c>
      <c r="L391" s="307"/>
      <c r="M391" s="644">
        <v>1630</v>
      </c>
    </row>
    <row r="392" spans="1:13" s="25" customFormat="1" ht="34.5" customHeight="1" thickBot="1">
      <c r="A392" s="850"/>
      <c r="B392" s="851"/>
      <c r="C392" s="466"/>
      <c r="D392" s="29">
        <v>2022</v>
      </c>
      <c r="E392" s="309">
        <v>0</v>
      </c>
      <c r="F392" s="309">
        <v>0</v>
      </c>
      <c r="G392" s="309">
        <v>0</v>
      </c>
      <c r="H392" s="309">
        <v>0</v>
      </c>
      <c r="I392" s="309">
        <v>0</v>
      </c>
      <c r="J392" s="309">
        <v>0</v>
      </c>
      <c r="K392" s="309">
        <v>0</v>
      </c>
      <c r="L392" s="307"/>
      <c r="M392" s="644"/>
    </row>
    <row r="393" spans="1:13" s="25" customFormat="1" ht="24.75" customHeight="1" thickBot="1">
      <c r="A393" s="852" t="s">
        <v>248</v>
      </c>
      <c r="B393" s="853" t="s">
        <v>249</v>
      </c>
      <c r="C393" s="310" t="s">
        <v>250</v>
      </c>
      <c r="D393" s="311">
        <v>2020</v>
      </c>
      <c r="E393" s="312"/>
      <c r="F393" s="312"/>
      <c r="G393" s="312"/>
      <c r="H393" s="312"/>
      <c r="I393" s="312"/>
      <c r="J393" s="312">
        <v>0</v>
      </c>
      <c r="K393" s="312"/>
      <c r="L393" s="313" t="s">
        <v>250</v>
      </c>
      <c r="M393" s="645"/>
    </row>
    <row r="394" spans="1:13" s="25" customFormat="1" ht="24.75" customHeight="1" thickBot="1">
      <c r="A394" s="852"/>
      <c r="B394" s="853"/>
      <c r="C394" s="314" t="s">
        <v>251</v>
      </c>
      <c r="D394" s="315">
        <v>2020</v>
      </c>
      <c r="E394" s="194"/>
      <c r="F394" s="194"/>
      <c r="G394" s="194"/>
      <c r="H394" s="194"/>
      <c r="I394" s="194"/>
      <c r="J394" s="194">
        <v>0</v>
      </c>
      <c r="K394" s="194"/>
      <c r="L394" s="289" t="s">
        <v>251</v>
      </c>
      <c r="M394" s="621"/>
    </row>
    <row r="395" spans="1:13" s="25" customFormat="1" ht="24.75" customHeight="1" thickBot="1">
      <c r="A395" s="852"/>
      <c r="B395" s="853"/>
      <c r="C395" s="314" t="s">
        <v>154</v>
      </c>
      <c r="D395" s="315">
        <v>2020</v>
      </c>
      <c r="E395" s="194"/>
      <c r="F395" s="194"/>
      <c r="G395" s="194"/>
      <c r="H395" s="194"/>
      <c r="I395" s="194"/>
      <c r="J395" s="194">
        <v>0</v>
      </c>
      <c r="K395" s="194"/>
      <c r="L395" s="289" t="s">
        <v>154</v>
      </c>
      <c r="M395" s="621"/>
    </row>
    <row r="396" spans="1:13" s="25" customFormat="1" ht="24.75" customHeight="1" thickBot="1">
      <c r="A396" s="852"/>
      <c r="B396" s="853"/>
      <c r="C396" s="316" t="s">
        <v>152</v>
      </c>
      <c r="D396" s="317">
        <v>2021</v>
      </c>
      <c r="E396" s="318"/>
      <c r="F396" s="318"/>
      <c r="G396" s="318"/>
      <c r="H396" s="318"/>
      <c r="I396" s="318"/>
      <c r="J396" s="318">
        <v>0</v>
      </c>
      <c r="K396" s="318"/>
      <c r="L396" s="319" t="s">
        <v>152</v>
      </c>
      <c r="M396" s="646"/>
    </row>
    <row r="397" spans="1:13" s="25" customFormat="1" ht="24.75" customHeight="1" thickBot="1">
      <c r="A397" s="766" t="s">
        <v>252</v>
      </c>
      <c r="B397" s="767" t="s">
        <v>253</v>
      </c>
      <c r="C397" s="310" t="s">
        <v>154</v>
      </c>
      <c r="D397" s="311">
        <v>2020</v>
      </c>
      <c r="E397" s="312"/>
      <c r="F397" s="312"/>
      <c r="G397" s="312"/>
      <c r="H397" s="312"/>
      <c r="I397" s="312"/>
      <c r="J397" s="312">
        <v>0</v>
      </c>
      <c r="K397" s="312"/>
      <c r="L397" s="313" t="s">
        <v>154</v>
      </c>
      <c r="M397" s="645"/>
    </row>
    <row r="398" spans="1:13" s="25" customFormat="1" ht="24.75" customHeight="1" thickBot="1">
      <c r="A398" s="766"/>
      <c r="B398" s="768"/>
      <c r="C398" s="314" t="s">
        <v>156</v>
      </c>
      <c r="D398" s="315">
        <v>2021</v>
      </c>
      <c r="E398" s="194"/>
      <c r="F398" s="194"/>
      <c r="G398" s="194"/>
      <c r="H398" s="194"/>
      <c r="I398" s="194"/>
      <c r="J398" s="194">
        <v>0</v>
      </c>
      <c r="K398" s="194"/>
      <c r="L398" s="289" t="s">
        <v>156</v>
      </c>
      <c r="M398" s="621"/>
    </row>
    <row r="399" spans="1:13" s="25" customFormat="1" ht="24.75" customHeight="1" thickBot="1">
      <c r="A399" s="766"/>
      <c r="B399" s="768"/>
      <c r="C399" s="314" t="s">
        <v>106</v>
      </c>
      <c r="D399" s="315">
        <v>2021</v>
      </c>
      <c r="E399" s="194"/>
      <c r="F399" s="194"/>
      <c r="G399" s="194"/>
      <c r="H399" s="194"/>
      <c r="I399" s="194"/>
      <c r="J399" s="194">
        <v>0</v>
      </c>
      <c r="K399" s="194"/>
      <c r="L399" s="289" t="s">
        <v>254</v>
      </c>
      <c r="M399" s="621"/>
    </row>
    <row r="400" spans="1:13" s="25" customFormat="1" ht="24.75" customHeight="1" thickBot="1">
      <c r="A400" s="766"/>
      <c r="B400" s="768"/>
      <c r="C400" s="314" t="s">
        <v>145</v>
      </c>
      <c r="D400" s="315">
        <v>2021</v>
      </c>
      <c r="E400" s="194"/>
      <c r="F400" s="194"/>
      <c r="G400" s="194"/>
      <c r="H400" s="194"/>
      <c r="I400" s="194"/>
      <c r="J400" s="194">
        <v>0</v>
      </c>
      <c r="K400" s="194"/>
      <c r="L400" s="289" t="s">
        <v>145</v>
      </c>
      <c r="M400" s="621"/>
    </row>
    <row r="401" spans="1:13" s="25" customFormat="1" ht="24.75" customHeight="1" thickBot="1">
      <c r="A401" s="766"/>
      <c r="B401" s="768"/>
      <c r="C401" s="314" t="s">
        <v>149</v>
      </c>
      <c r="D401" s="315">
        <v>2021</v>
      </c>
      <c r="E401" s="194"/>
      <c r="F401" s="194"/>
      <c r="G401" s="194"/>
      <c r="H401" s="194"/>
      <c r="I401" s="194"/>
      <c r="J401" s="194">
        <v>0</v>
      </c>
      <c r="K401" s="194"/>
      <c r="L401" s="289" t="s">
        <v>149</v>
      </c>
      <c r="M401" s="621"/>
    </row>
    <row r="402" spans="1:13" s="25" customFormat="1" ht="24.75" customHeight="1" thickBot="1">
      <c r="A402" s="766"/>
      <c r="B402" s="768"/>
      <c r="C402" s="316" t="s">
        <v>152</v>
      </c>
      <c r="D402" s="317">
        <v>2021</v>
      </c>
      <c r="E402" s="318"/>
      <c r="F402" s="318"/>
      <c r="G402" s="318"/>
      <c r="H402" s="318"/>
      <c r="I402" s="318"/>
      <c r="J402" s="318">
        <v>0</v>
      </c>
      <c r="K402" s="318"/>
      <c r="L402" s="319" t="s">
        <v>152</v>
      </c>
      <c r="M402" s="646"/>
    </row>
    <row r="403" spans="1:13" s="25" customFormat="1" ht="39.75" customHeight="1">
      <c r="A403" s="647" t="s">
        <v>255</v>
      </c>
      <c r="B403" s="320" t="s">
        <v>257</v>
      </c>
      <c r="C403" s="321" t="s">
        <v>149</v>
      </c>
      <c r="D403" s="322">
        <v>2020</v>
      </c>
      <c r="E403" s="208"/>
      <c r="F403" s="208"/>
      <c r="G403" s="208"/>
      <c r="H403" s="208"/>
      <c r="I403" s="208"/>
      <c r="J403" s="208">
        <v>0</v>
      </c>
      <c r="K403" s="208"/>
      <c r="L403" s="323" t="s">
        <v>149</v>
      </c>
      <c r="M403" s="648"/>
    </row>
    <row r="404" spans="1:13" s="25" customFormat="1" ht="36" customHeight="1">
      <c r="A404" s="643" t="s">
        <v>256</v>
      </c>
      <c r="B404" s="324" t="s">
        <v>259</v>
      </c>
      <c r="C404" s="314" t="s">
        <v>149</v>
      </c>
      <c r="D404" s="315">
        <v>2020</v>
      </c>
      <c r="E404" s="194"/>
      <c r="F404" s="194"/>
      <c r="G404" s="194"/>
      <c r="H404" s="194"/>
      <c r="I404" s="194"/>
      <c r="J404" s="194">
        <v>0</v>
      </c>
      <c r="K404" s="194"/>
      <c r="L404" s="289" t="s">
        <v>149</v>
      </c>
      <c r="M404" s="621"/>
    </row>
    <row r="405" spans="1:13" s="25" customFormat="1" ht="37.5" customHeight="1" thickBot="1">
      <c r="A405" s="649" t="s">
        <v>258</v>
      </c>
      <c r="B405" s="325" t="s">
        <v>261</v>
      </c>
      <c r="C405" s="314" t="s">
        <v>152</v>
      </c>
      <c r="D405" s="315">
        <v>2020</v>
      </c>
      <c r="E405" s="194"/>
      <c r="F405" s="194"/>
      <c r="G405" s="194"/>
      <c r="H405" s="194"/>
      <c r="I405" s="194"/>
      <c r="J405" s="194">
        <v>0</v>
      </c>
      <c r="K405" s="194"/>
      <c r="L405" s="289" t="s">
        <v>152</v>
      </c>
      <c r="M405" s="621"/>
    </row>
    <row r="406" spans="1:13" s="25" customFormat="1" ht="41.25" customHeight="1" thickBot="1">
      <c r="A406" s="649" t="s">
        <v>260</v>
      </c>
      <c r="B406" s="326" t="s">
        <v>263</v>
      </c>
      <c r="C406" s="316" t="s">
        <v>152</v>
      </c>
      <c r="D406" s="327">
        <v>2020</v>
      </c>
      <c r="E406" s="199"/>
      <c r="F406" s="199"/>
      <c r="G406" s="199"/>
      <c r="H406" s="199"/>
      <c r="I406" s="199"/>
      <c r="J406" s="199">
        <v>0</v>
      </c>
      <c r="K406" s="199"/>
      <c r="L406" s="328" t="s">
        <v>152</v>
      </c>
      <c r="M406" s="635"/>
    </row>
    <row r="407" spans="1:13" s="294" customFormat="1" ht="41.25" customHeight="1" thickBot="1">
      <c r="A407" s="764" t="s">
        <v>262</v>
      </c>
      <c r="B407" s="329" t="s">
        <v>264</v>
      </c>
      <c r="C407" s="329"/>
      <c r="D407" s="330">
        <v>2020</v>
      </c>
      <c r="E407" s="203">
        <f>F407+G407+J407+K407</f>
        <v>1762</v>
      </c>
      <c r="F407" s="203"/>
      <c r="G407" s="203">
        <f>H407+I407</f>
        <v>1533</v>
      </c>
      <c r="H407" s="203"/>
      <c r="I407" s="203">
        <f>I408+I409+I410</f>
        <v>1533</v>
      </c>
      <c r="J407" s="203">
        <f>J408+J409+J410</f>
        <v>229</v>
      </c>
      <c r="K407" s="203">
        <f>K408+K409+K410</f>
        <v>0</v>
      </c>
      <c r="L407" s="331"/>
      <c r="M407" s="650"/>
    </row>
    <row r="408" spans="1:13" s="25" customFormat="1" ht="77.25" customHeight="1" thickBot="1">
      <c r="A408" s="764"/>
      <c r="B408" s="332" t="s">
        <v>266</v>
      </c>
      <c r="C408" s="333"/>
      <c r="D408" s="322">
        <v>2020</v>
      </c>
      <c r="E408" s="208">
        <f>F408+G408+J408+K408</f>
        <v>300</v>
      </c>
      <c r="F408" s="208"/>
      <c r="G408" s="208">
        <f>H408+I408</f>
        <v>261</v>
      </c>
      <c r="H408" s="208"/>
      <c r="I408" s="208">
        <v>261</v>
      </c>
      <c r="J408" s="208">
        <v>39</v>
      </c>
      <c r="K408" s="208">
        <v>0</v>
      </c>
      <c r="L408" s="323" t="s">
        <v>265</v>
      </c>
      <c r="M408" s="651"/>
    </row>
    <row r="409" spans="1:13" s="25" customFormat="1" ht="42.75" customHeight="1">
      <c r="A409" s="764"/>
      <c r="B409" s="808" t="s">
        <v>267</v>
      </c>
      <c r="C409" s="334"/>
      <c r="D409" s="315">
        <v>2020</v>
      </c>
      <c r="E409" s="194">
        <f>F409+G409+J409+K409</f>
        <v>657.4</v>
      </c>
      <c r="F409" s="194"/>
      <c r="G409" s="194">
        <f>H409+I409</f>
        <v>572</v>
      </c>
      <c r="H409" s="194"/>
      <c r="I409" s="194">
        <v>572</v>
      </c>
      <c r="J409" s="194">
        <v>85.4</v>
      </c>
      <c r="K409" s="194">
        <v>0</v>
      </c>
      <c r="L409" s="289" t="s">
        <v>179</v>
      </c>
      <c r="M409" s="635"/>
    </row>
    <row r="410" spans="1:13" s="25" customFormat="1" ht="42.75" customHeight="1" thickBot="1">
      <c r="A410" s="764"/>
      <c r="B410" s="809"/>
      <c r="C410" s="334"/>
      <c r="D410" s="315">
        <v>2020</v>
      </c>
      <c r="E410" s="194">
        <f>F410+G410+J410+K410</f>
        <v>804.6</v>
      </c>
      <c r="F410" s="194"/>
      <c r="G410" s="194">
        <f>H410+I410</f>
        <v>700</v>
      </c>
      <c r="H410" s="194"/>
      <c r="I410" s="194">
        <v>700</v>
      </c>
      <c r="J410" s="194">
        <v>104.6</v>
      </c>
      <c r="K410" s="194">
        <v>0</v>
      </c>
      <c r="L410" s="289" t="s">
        <v>124</v>
      </c>
      <c r="M410" s="635"/>
    </row>
    <row r="411" spans="1:18" s="294" customFormat="1" ht="40.5" customHeight="1" thickBot="1">
      <c r="A411" s="652"/>
      <c r="B411" s="329" t="s">
        <v>264</v>
      </c>
      <c r="C411" s="335"/>
      <c r="D411" s="336">
        <v>2021</v>
      </c>
      <c r="E411" s="194">
        <f>F411+G411+J411+K411</f>
        <v>1904.9859999999999</v>
      </c>
      <c r="F411" s="485"/>
      <c r="G411" s="194">
        <f>H411+I411</f>
        <v>0</v>
      </c>
      <c r="H411" s="194"/>
      <c r="I411" s="194">
        <v>0</v>
      </c>
      <c r="J411" s="194">
        <f>SUM(J412:J414)</f>
        <v>1904.9859999999999</v>
      </c>
      <c r="K411" s="194">
        <v>0</v>
      </c>
      <c r="L411" s="77"/>
      <c r="M411" s="653">
        <f>J327+J328+1014.085</f>
        <v>2923.187</v>
      </c>
      <c r="R411" s="337"/>
    </row>
    <row r="412" spans="1:18" s="294" customFormat="1" ht="82.5" customHeight="1" thickBot="1">
      <c r="A412" s="652"/>
      <c r="B412" s="332" t="s">
        <v>266</v>
      </c>
      <c r="C412" s="338"/>
      <c r="D412" s="339"/>
      <c r="E412" s="194">
        <f>G412</f>
        <v>140.126</v>
      </c>
      <c r="F412" s="162"/>
      <c r="G412" s="194">
        <f>I412+J412</f>
        <v>140.126</v>
      </c>
      <c r="H412" s="194"/>
      <c r="I412" s="194">
        <v>0</v>
      </c>
      <c r="J412" s="194">
        <f>98.14+41.986</f>
        <v>140.126</v>
      </c>
      <c r="K412" s="194">
        <v>0</v>
      </c>
      <c r="L412" s="323" t="s">
        <v>265</v>
      </c>
      <c r="M412" s="654"/>
      <c r="R412" s="337"/>
    </row>
    <row r="413" spans="1:18" s="294" customFormat="1" ht="43.5" customHeight="1" thickBot="1">
      <c r="A413" s="652"/>
      <c r="B413" s="808" t="s">
        <v>267</v>
      </c>
      <c r="C413" s="577" t="s">
        <v>179</v>
      </c>
      <c r="D413" s="339"/>
      <c r="E413" s="194"/>
      <c r="F413" s="162"/>
      <c r="G413" s="194"/>
      <c r="H413" s="194"/>
      <c r="I413" s="194"/>
      <c r="J413" s="194">
        <v>72</v>
      </c>
      <c r="K413" s="194"/>
      <c r="L413" s="289" t="s">
        <v>179</v>
      </c>
      <c r="M413" s="654"/>
      <c r="R413" s="337"/>
    </row>
    <row r="414" spans="1:13" s="294" customFormat="1" ht="41.25" customHeight="1" thickBot="1">
      <c r="A414" s="652"/>
      <c r="B414" s="809"/>
      <c r="C414" s="577" t="s">
        <v>124</v>
      </c>
      <c r="D414" s="339"/>
      <c r="E414" s="194">
        <f>F414+G414+J414+K414</f>
        <v>1692.86</v>
      </c>
      <c r="F414" s="162"/>
      <c r="G414" s="194">
        <f>I414</f>
        <v>0</v>
      </c>
      <c r="H414" s="194"/>
      <c r="I414" s="194">
        <v>0</v>
      </c>
      <c r="J414" s="194">
        <v>1692.86</v>
      </c>
      <c r="K414" s="194">
        <v>0</v>
      </c>
      <c r="L414" s="289" t="s">
        <v>124</v>
      </c>
      <c r="M414" s="654"/>
    </row>
    <row r="415" spans="1:13" s="25" customFormat="1" ht="24.75" customHeight="1" thickBot="1">
      <c r="A415" s="765"/>
      <c r="B415" s="847" t="s">
        <v>268</v>
      </c>
      <c r="C415" s="389"/>
      <c r="D415" s="164">
        <v>2017</v>
      </c>
      <c r="E415" s="385">
        <f>F415+G415+J415+K415</f>
        <v>26434.284</v>
      </c>
      <c r="F415" s="386">
        <f>G415+H415</f>
        <v>0</v>
      </c>
      <c r="G415" s="386">
        <f>H415+I415</f>
        <v>0</v>
      </c>
      <c r="H415" s="387">
        <f>H245+H246</f>
        <v>0</v>
      </c>
      <c r="I415" s="387">
        <f>I245+I246</f>
        <v>0</v>
      </c>
      <c r="J415" s="385">
        <f>J245+J246</f>
        <v>26434.284</v>
      </c>
      <c r="K415" s="385">
        <v>0</v>
      </c>
      <c r="L415" s="388"/>
      <c r="M415" s="630"/>
    </row>
    <row r="416" spans="1:13" s="25" customFormat="1" ht="24.75" customHeight="1" thickBot="1">
      <c r="A416" s="765"/>
      <c r="B416" s="848"/>
      <c r="C416" s="389"/>
      <c r="D416" s="166">
        <v>2018</v>
      </c>
      <c r="E416" s="490">
        <f>F416+G416+J416+K416</f>
        <v>29674.233</v>
      </c>
      <c r="F416" s="390">
        <f>G416+H416</f>
        <v>0</v>
      </c>
      <c r="G416" s="390">
        <f>H416+I416</f>
        <v>0</v>
      </c>
      <c r="H416" s="391">
        <f>H247</f>
        <v>0</v>
      </c>
      <c r="I416" s="391">
        <f>I247</f>
        <v>0</v>
      </c>
      <c r="J416" s="490">
        <f>J247+J348</f>
        <v>29674.233</v>
      </c>
      <c r="K416" s="391">
        <v>0</v>
      </c>
      <c r="L416" s="392"/>
      <c r="M416" s="630"/>
    </row>
    <row r="417" spans="1:13" s="25" customFormat="1" ht="24.75" customHeight="1" thickBot="1">
      <c r="A417" s="765"/>
      <c r="B417" s="848"/>
      <c r="C417" s="389"/>
      <c r="D417" s="166">
        <v>2019</v>
      </c>
      <c r="E417" s="490">
        <f aca="true" t="shared" si="64" ref="E417:K417">E263+E356+E374+E337+E387</f>
        <v>27583.2734</v>
      </c>
      <c r="F417" s="490">
        <f t="shared" si="64"/>
        <v>0</v>
      </c>
      <c r="G417" s="490">
        <f t="shared" si="64"/>
        <v>1436</v>
      </c>
      <c r="H417" s="490">
        <f t="shared" si="64"/>
        <v>0</v>
      </c>
      <c r="I417" s="490">
        <f t="shared" si="64"/>
        <v>1436</v>
      </c>
      <c r="J417" s="490">
        <f t="shared" si="64"/>
        <v>26147.2734</v>
      </c>
      <c r="K417" s="490">
        <f t="shared" si="64"/>
        <v>0</v>
      </c>
      <c r="L417" s="392"/>
      <c r="M417" s="630"/>
    </row>
    <row r="418" spans="1:13" s="25" customFormat="1" ht="24.75" customHeight="1" thickBot="1">
      <c r="A418" s="765"/>
      <c r="B418" s="848"/>
      <c r="C418" s="389"/>
      <c r="D418" s="166">
        <v>2020</v>
      </c>
      <c r="E418" s="490">
        <f aca="true" t="shared" si="65" ref="E418:J418">E278+E338+E359+E375+E390+E407</f>
        <v>18121.27489</v>
      </c>
      <c r="F418" s="490">
        <f t="shared" si="65"/>
        <v>0</v>
      </c>
      <c r="G418" s="490">
        <f t="shared" si="65"/>
        <v>1533</v>
      </c>
      <c r="H418" s="490">
        <f t="shared" si="65"/>
        <v>0</v>
      </c>
      <c r="I418" s="490">
        <f t="shared" si="65"/>
        <v>1533</v>
      </c>
      <c r="J418" s="490">
        <f t="shared" si="65"/>
        <v>16588.27489</v>
      </c>
      <c r="K418" s="490">
        <f>K278+K338+K359+K375+K390</f>
        <v>0</v>
      </c>
      <c r="L418" s="392"/>
      <c r="M418" s="630"/>
    </row>
    <row r="419" spans="1:13" s="25" customFormat="1" ht="24.75" customHeight="1" thickBot="1">
      <c r="A419" s="765"/>
      <c r="B419" s="848"/>
      <c r="C419" s="389"/>
      <c r="D419" s="166">
        <v>2021</v>
      </c>
      <c r="E419" s="490">
        <f>E288+E339+E363+E376+E391+E411</f>
        <v>19109.25973</v>
      </c>
      <c r="F419" s="490">
        <f>F288+F339+F363+F376+F391</f>
        <v>0</v>
      </c>
      <c r="G419" s="490">
        <f>G288+G339+G363+G376+G391</f>
        <v>0</v>
      </c>
      <c r="H419" s="490">
        <f>H288+H339+H363+H376+H391</f>
        <v>0</v>
      </c>
      <c r="I419" s="490">
        <f>I288+I339+I363+I376+I391</f>
        <v>0</v>
      </c>
      <c r="J419" s="490">
        <f>+J411+J288+J339+J363+J376+J391</f>
        <v>19109.25973</v>
      </c>
      <c r="K419" s="490">
        <f>K288+K339+K363+K376+K391</f>
        <v>0</v>
      </c>
      <c r="L419" s="392"/>
      <c r="M419" s="630"/>
    </row>
    <row r="420" spans="1:13" s="25" customFormat="1" ht="24.75" customHeight="1" thickBot="1">
      <c r="A420" s="765"/>
      <c r="B420" s="848"/>
      <c r="C420" s="389"/>
      <c r="D420" s="166">
        <v>2022</v>
      </c>
      <c r="E420" s="490">
        <f aca="true" t="shared" si="66" ref="E420:K420">E335+E373+E377+E392</f>
        <v>0</v>
      </c>
      <c r="F420" s="490">
        <f t="shared" si="66"/>
        <v>0</v>
      </c>
      <c r="G420" s="490">
        <f t="shared" si="66"/>
        <v>0</v>
      </c>
      <c r="H420" s="490">
        <f t="shared" si="66"/>
        <v>0</v>
      </c>
      <c r="I420" s="490">
        <f t="shared" si="66"/>
        <v>0</v>
      </c>
      <c r="J420" s="490">
        <f t="shared" si="66"/>
        <v>0</v>
      </c>
      <c r="K420" s="490">
        <f t="shared" si="66"/>
        <v>0</v>
      </c>
      <c r="L420" s="392"/>
      <c r="M420" s="630"/>
    </row>
    <row r="421" spans="1:13" s="25" customFormat="1" ht="24.75" customHeight="1" thickBot="1">
      <c r="A421" s="765"/>
      <c r="B421" s="848"/>
      <c r="C421" s="389"/>
      <c r="D421" s="515">
        <v>2023</v>
      </c>
      <c r="E421" s="490">
        <v>0</v>
      </c>
      <c r="F421" s="198">
        <v>0</v>
      </c>
      <c r="G421" s="198">
        <v>0</v>
      </c>
      <c r="H421" s="198">
        <v>0</v>
      </c>
      <c r="I421" s="198">
        <v>0</v>
      </c>
      <c r="J421" s="198">
        <v>0</v>
      </c>
      <c r="K421" s="198">
        <v>0</v>
      </c>
      <c r="L421" s="516"/>
      <c r="M421" s="630"/>
    </row>
    <row r="422" spans="1:13" s="25" customFormat="1" ht="24.75" customHeight="1" thickBot="1">
      <c r="A422" s="765"/>
      <c r="B422" s="849"/>
      <c r="C422" s="393"/>
      <c r="D422" s="394">
        <v>2024</v>
      </c>
      <c r="E422" s="395">
        <v>0</v>
      </c>
      <c r="F422" s="395">
        <v>0</v>
      </c>
      <c r="G422" s="395">
        <v>0</v>
      </c>
      <c r="H422" s="395">
        <v>0</v>
      </c>
      <c r="I422" s="395">
        <v>0</v>
      </c>
      <c r="J422" s="395">
        <v>0</v>
      </c>
      <c r="K422" s="395">
        <v>0</v>
      </c>
      <c r="L422" s="396"/>
      <c r="M422" s="630"/>
    </row>
    <row r="423" spans="1:13" s="25" customFormat="1" ht="27" customHeight="1">
      <c r="A423" s="758" t="s">
        <v>333</v>
      </c>
      <c r="B423" s="759"/>
      <c r="C423" s="759"/>
      <c r="D423" s="759"/>
      <c r="E423" s="397"/>
      <c r="F423" s="397"/>
      <c r="G423" s="397"/>
      <c r="H423" s="397"/>
      <c r="I423" s="397"/>
      <c r="J423" s="398"/>
      <c r="K423" s="397"/>
      <c r="L423" s="397"/>
      <c r="M423" s="655"/>
    </row>
    <row r="424" spans="1:13" s="25" customFormat="1" ht="29.25" customHeight="1" thickBot="1">
      <c r="A424" s="656" t="s">
        <v>269</v>
      </c>
      <c r="B424" s="399"/>
      <c r="C424" s="400"/>
      <c r="D424" s="400"/>
      <c r="E424" s="400"/>
      <c r="F424" s="400"/>
      <c r="G424" s="400"/>
      <c r="H424" s="400"/>
      <c r="I424" s="400"/>
      <c r="J424" s="401"/>
      <c r="K424" s="400"/>
      <c r="L424" s="402"/>
      <c r="M424" s="657"/>
    </row>
    <row r="425" spans="1:13" s="25" customFormat="1" ht="27" customHeight="1" thickBot="1">
      <c r="A425" s="656" t="s">
        <v>270</v>
      </c>
      <c r="B425" s="403"/>
      <c r="C425" s="400"/>
      <c r="D425" s="400"/>
      <c r="E425" s="400"/>
      <c r="F425" s="400"/>
      <c r="G425" s="400"/>
      <c r="H425" s="400"/>
      <c r="I425" s="400"/>
      <c r="J425" s="401"/>
      <c r="K425" s="404"/>
      <c r="L425" s="23"/>
      <c r="M425" s="621"/>
    </row>
    <row r="426" spans="1:13" s="25" customFormat="1" ht="49.5" customHeight="1">
      <c r="A426" s="761" t="s">
        <v>271</v>
      </c>
      <c r="B426" s="818" t="s">
        <v>272</v>
      </c>
      <c r="C426" s="405"/>
      <c r="D426" s="487">
        <v>2017</v>
      </c>
      <c r="E426" s="485">
        <f>F426+G426+J426+K426</f>
        <v>200580.416</v>
      </c>
      <c r="F426" s="485">
        <f>F427+F428+F429+F431+F432+F433+F434</f>
        <v>124615.2</v>
      </c>
      <c r="G426" s="406">
        <f>H426+I426</f>
        <v>727</v>
      </c>
      <c r="H426" s="406">
        <f>H427+H428+H429+H431+H432+H433+H434</f>
        <v>0</v>
      </c>
      <c r="I426" s="406">
        <f>I427+I428+I429+I431+I432+I433+I434</f>
        <v>727</v>
      </c>
      <c r="J426" s="406">
        <f>J427+J428+J429+J431+J432+J433+J434</f>
        <v>75238.216</v>
      </c>
      <c r="K426" s="406">
        <f>K427+K428+K429+K431+K432+K433+K434</f>
        <v>0</v>
      </c>
      <c r="L426" s="23"/>
      <c r="M426" s="842" t="s">
        <v>273</v>
      </c>
    </row>
    <row r="427" spans="1:13" s="25" customFormat="1" ht="27" customHeight="1">
      <c r="A427" s="761"/>
      <c r="B427" s="819"/>
      <c r="C427" s="405"/>
      <c r="D427" s="407"/>
      <c r="E427" s="485">
        <f>F427+G427+J427+K427</f>
        <v>64776.86</v>
      </c>
      <c r="F427" s="488">
        <v>54731.8</v>
      </c>
      <c r="G427" s="408">
        <f>H427+I427</f>
        <v>0</v>
      </c>
      <c r="H427" s="488"/>
      <c r="I427" s="488"/>
      <c r="J427" s="488">
        <v>10045.06</v>
      </c>
      <c r="K427" s="409">
        <v>0</v>
      </c>
      <c r="L427" s="489" t="s">
        <v>274</v>
      </c>
      <c r="M427" s="842"/>
    </row>
    <row r="428" spans="1:13" s="25" customFormat="1" ht="27" customHeight="1">
      <c r="A428" s="841"/>
      <c r="B428" s="410"/>
      <c r="C428" s="411"/>
      <c r="D428" s="464"/>
      <c r="E428" s="485">
        <f>F428+G428+J428+K428</f>
        <v>20018.813</v>
      </c>
      <c r="F428" s="488"/>
      <c r="G428" s="408">
        <f>H428+I428</f>
        <v>0</v>
      </c>
      <c r="H428" s="488"/>
      <c r="I428" s="488"/>
      <c r="J428" s="488">
        <v>20018.813</v>
      </c>
      <c r="K428" s="409">
        <v>0</v>
      </c>
      <c r="L428" s="489" t="s">
        <v>275</v>
      </c>
      <c r="M428" s="842"/>
    </row>
    <row r="429" spans="1:13" s="25" customFormat="1" ht="27" customHeight="1">
      <c r="A429" s="761"/>
      <c r="B429" s="454"/>
      <c r="C429" s="405"/>
      <c r="D429" s="464"/>
      <c r="E429" s="485">
        <f>F429+G429+J429+K429</f>
        <v>13226.366</v>
      </c>
      <c r="F429" s="488"/>
      <c r="G429" s="408">
        <f>H429+I429</f>
        <v>0</v>
      </c>
      <c r="H429" s="488"/>
      <c r="I429" s="488"/>
      <c r="J429" s="488">
        <v>13226.366</v>
      </c>
      <c r="K429" s="409">
        <v>0</v>
      </c>
      <c r="L429" s="489" t="s">
        <v>276</v>
      </c>
      <c r="M429" s="842"/>
    </row>
    <row r="430" spans="1:13" s="25" customFormat="1" ht="27" customHeight="1">
      <c r="A430" s="761"/>
      <c r="B430" s="405"/>
      <c r="C430" s="405"/>
      <c r="D430" s="464"/>
      <c r="E430" s="485"/>
      <c r="F430" s="488"/>
      <c r="G430" s="408"/>
      <c r="H430" s="488"/>
      <c r="I430" s="488"/>
      <c r="J430" s="488"/>
      <c r="K430" s="409"/>
      <c r="L430" s="489"/>
      <c r="M430" s="842"/>
    </row>
    <row r="431" spans="1:13" s="25" customFormat="1" ht="27" customHeight="1">
      <c r="A431" s="761"/>
      <c r="B431" s="405"/>
      <c r="C431" s="405"/>
      <c r="D431" s="464"/>
      <c r="E431" s="485">
        <f aca="true" t="shared" si="67" ref="E431:E483">F431+G431+J431+K431</f>
        <v>77631.458</v>
      </c>
      <c r="F431" s="488">
        <v>69883.4</v>
      </c>
      <c r="G431" s="408">
        <f>H431+I431</f>
        <v>0</v>
      </c>
      <c r="H431" s="488"/>
      <c r="I431" s="488"/>
      <c r="J431" s="488">
        <v>7748.058</v>
      </c>
      <c r="K431" s="409">
        <v>0</v>
      </c>
      <c r="L431" s="489" t="s">
        <v>94</v>
      </c>
      <c r="M431" s="842"/>
    </row>
    <row r="432" spans="1:13" s="25" customFormat="1" ht="29.25" customHeight="1">
      <c r="A432" s="761"/>
      <c r="B432" s="405"/>
      <c r="C432" s="405"/>
      <c r="D432" s="464"/>
      <c r="E432" s="485">
        <f t="shared" si="67"/>
        <v>8225.922</v>
      </c>
      <c r="F432" s="486"/>
      <c r="G432" s="408">
        <f>H432+I432</f>
        <v>0</v>
      </c>
      <c r="H432" s="488"/>
      <c r="I432" s="488"/>
      <c r="J432" s="488">
        <v>8225.922</v>
      </c>
      <c r="K432" s="409">
        <v>0</v>
      </c>
      <c r="L432" s="489" t="s">
        <v>96</v>
      </c>
      <c r="M432" s="842"/>
    </row>
    <row r="433" spans="1:13" s="25" customFormat="1" ht="32.25" customHeight="1">
      <c r="A433" s="761"/>
      <c r="B433" s="405"/>
      <c r="C433" s="405"/>
      <c r="D433" s="464"/>
      <c r="E433" s="485">
        <f t="shared" si="67"/>
        <v>11386.085</v>
      </c>
      <c r="F433" s="486"/>
      <c r="G433" s="408">
        <f>H433+I433</f>
        <v>0</v>
      </c>
      <c r="H433" s="488"/>
      <c r="I433" s="488"/>
      <c r="J433" s="488">
        <v>11386.085</v>
      </c>
      <c r="K433" s="409">
        <v>0</v>
      </c>
      <c r="L433" s="489" t="s">
        <v>277</v>
      </c>
      <c r="M433" s="842"/>
    </row>
    <row r="434" spans="1:13" s="25" customFormat="1" ht="54" customHeight="1">
      <c r="A434" s="761"/>
      <c r="B434" s="405"/>
      <c r="C434" s="405"/>
      <c r="D434" s="464"/>
      <c r="E434" s="485">
        <f t="shared" si="67"/>
        <v>5314.912</v>
      </c>
      <c r="F434" s="486"/>
      <c r="G434" s="408">
        <f>H434+I434</f>
        <v>727</v>
      </c>
      <c r="H434" s="488">
        <v>0</v>
      </c>
      <c r="I434" s="488">
        <v>727</v>
      </c>
      <c r="J434" s="488">
        <f>5287.912-700</f>
        <v>4587.912</v>
      </c>
      <c r="K434" s="409">
        <v>0</v>
      </c>
      <c r="L434" s="489" t="s">
        <v>278</v>
      </c>
      <c r="M434" s="842"/>
    </row>
    <row r="435" spans="1:13" s="25" customFormat="1" ht="28.5" customHeight="1" thickBot="1">
      <c r="A435" s="761"/>
      <c r="B435" s="405"/>
      <c r="C435" s="405"/>
      <c r="D435" s="464">
        <v>2017</v>
      </c>
      <c r="E435" s="485">
        <f t="shared" si="67"/>
        <v>16200</v>
      </c>
      <c r="F435" s="80"/>
      <c r="G435" s="80">
        <f>H435+I435</f>
        <v>0</v>
      </c>
      <c r="H435" s="80">
        <v>0</v>
      </c>
      <c r="I435" s="80">
        <v>0</v>
      </c>
      <c r="J435" s="80">
        <v>16200</v>
      </c>
      <c r="K435" s="80">
        <v>0</v>
      </c>
      <c r="L435" s="489" t="s">
        <v>279</v>
      </c>
      <c r="M435" s="842"/>
    </row>
    <row r="436" spans="1:13" s="25" customFormat="1" ht="27" customHeight="1" hidden="1">
      <c r="A436" s="641"/>
      <c r="B436" s="405"/>
      <c r="C436" s="412"/>
      <c r="D436" s="464"/>
      <c r="E436" s="485">
        <f t="shared" si="67"/>
        <v>0</v>
      </c>
      <c r="F436" s="80"/>
      <c r="G436" s="80"/>
      <c r="H436" s="80"/>
      <c r="I436" s="80"/>
      <c r="J436" s="488"/>
      <c r="K436" s="488"/>
      <c r="L436" s="455"/>
      <c r="M436" s="842"/>
    </row>
    <row r="437" spans="1:13" s="25" customFormat="1" ht="24.75" customHeight="1">
      <c r="A437" s="841" t="s">
        <v>280</v>
      </c>
      <c r="B437" s="788" t="s">
        <v>281</v>
      </c>
      <c r="C437" s="413"/>
      <c r="D437" s="845">
        <v>2018</v>
      </c>
      <c r="E437" s="485">
        <f t="shared" si="67"/>
        <v>209116.99978</v>
      </c>
      <c r="F437" s="485">
        <f>SUM(F438:F444)</f>
        <v>137344.5</v>
      </c>
      <c r="G437" s="485">
        <f aca="true" t="shared" si="68" ref="G437:G444">H437+I437</f>
        <v>1006.9820000000001</v>
      </c>
      <c r="H437" s="485">
        <f>H438+H439+H440+H441+H442+H443+H444</f>
        <v>0</v>
      </c>
      <c r="I437" s="485">
        <f>SUM(I438:I444)</f>
        <v>1006.9820000000001</v>
      </c>
      <c r="J437" s="485">
        <f>J438+J439+J440+J441+J442+J443+J444</f>
        <v>70765.51778000001</v>
      </c>
      <c r="K437" s="80">
        <v>0</v>
      </c>
      <c r="L437" s="455"/>
      <c r="M437" s="842"/>
    </row>
    <row r="438" spans="1:13" s="25" customFormat="1" ht="24.75" customHeight="1">
      <c r="A438" s="841"/>
      <c r="B438" s="789"/>
      <c r="C438" s="413"/>
      <c r="D438" s="845"/>
      <c r="E438" s="485">
        <f t="shared" si="67"/>
        <v>23993.106</v>
      </c>
      <c r="F438" s="486">
        <f>13666.243+401.723+232.4</f>
        <v>14300.366</v>
      </c>
      <c r="G438" s="485">
        <f t="shared" si="68"/>
        <v>0</v>
      </c>
      <c r="H438" s="486"/>
      <c r="I438" s="414"/>
      <c r="J438" s="486">
        <f>9852.084+390.21-2100+341.676+175.77+33+1000</f>
        <v>9692.74</v>
      </c>
      <c r="K438" s="488">
        <v>0</v>
      </c>
      <c r="L438" s="489" t="s">
        <v>274</v>
      </c>
      <c r="M438" s="842"/>
    </row>
    <row r="439" spans="1:13" s="25" customFormat="1" ht="24.75" customHeight="1">
      <c r="A439" s="841"/>
      <c r="B439" s="789"/>
      <c r="C439" s="413"/>
      <c r="D439" s="845"/>
      <c r="E439" s="485">
        <f t="shared" si="67"/>
        <v>50093.08377</v>
      </c>
      <c r="F439" s="486">
        <f>29992.565+858.854</f>
        <v>30851.418999999998</v>
      </c>
      <c r="G439" s="485">
        <f t="shared" si="68"/>
        <v>0</v>
      </c>
      <c r="H439" s="486"/>
      <c r="I439" s="414"/>
      <c r="J439" s="486">
        <f>20130.966+919.02-4300+766.8+389.718+170+1165.16077</f>
        <v>19241.66477</v>
      </c>
      <c r="K439" s="488">
        <v>0</v>
      </c>
      <c r="L439" s="489" t="s">
        <v>275</v>
      </c>
      <c r="M439" s="842"/>
    </row>
    <row r="440" spans="1:13" s="25" customFormat="1" ht="24.75" customHeight="1">
      <c r="A440" s="841"/>
      <c r="B440" s="789"/>
      <c r="C440" s="413"/>
      <c r="D440" s="845"/>
      <c r="E440" s="485">
        <f t="shared" si="67"/>
        <v>28049.476</v>
      </c>
      <c r="F440" s="486">
        <f>14985.192+401.723</f>
        <v>15386.914999999999</v>
      </c>
      <c r="G440" s="485">
        <f t="shared" si="68"/>
        <v>0</v>
      </c>
      <c r="H440" s="486"/>
      <c r="I440" s="414"/>
      <c r="J440" s="486">
        <f>13529.638+429.793-2900+367.83+195.3+40+1000</f>
        <v>12662.561</v>
      </c>
      <c r="K440" s="488">
        <v>0</v>
      </c>
      <c r="L440" s="489" t="s">
        <v>276</v>
      </c>
      <c r="M440" s="842"/>
    </row>
    <row r="441" spans="1:13" s="25" customFormat="1" ht="24.75" customHeight="1">
      <c r="A441" s="841"/>
      <c r="B441" s="789"/>
      <c r="C441" s="413"/>
      <c r="D441" s="845"/>
      <c r="E441" s="485">
        <f t="shared" si="67"/>
        <v>42507.873999999996</v>
      </c>
      <c r="F441" s="486">
        <f>30680.494+2764.647+1578.681</f>
        <v>35023.82199999999</v>
      </c>
      <c r="G441" s="485">
        <f t="shared" si="68"/>
        <v>0</v>
      </c>
      <c r="H441" s="486"/>
      <c r="I441" s="414"/>
      <c r="J441" s="486">
        <f>8048.81-1700+345.242-210+1000</f>
        <v>7484.052000000001</v>
      </c>
      <c r="K441" s="488">
        <v>0</v>
      </c>
      <c r="L441" s="489" t="s">
        <v>94</v>
      </c>
      <c r="M441" s="842"/>
    </row>
    <row r="442" spans="1:13" s="25" customFormat="1" ht="24.75" customHeight="1">
      <c r="A442" s="841"/>
      <c r="B442" s="789"/>
      <c r="C442" s="413"/>
      <c r="D442" s="845"/>
      <c r="E442" s="485">
        <f t="shared" si="67"/>
        <v>50010.63799999999</v>
      </c>
      <c r="F442" s="486">
        <f>39719.506+177.753+1884.719</f>
        <v>41781.977999999996</v>
      </c>
      <c r="G442" s="485">
        <f t="shared" si="68"/>
        <v>0</v>
      </c>
      <c r="H442" s="486"/>
      <c r="I442" s="414"/>
      <c r="J442" s="486">
        <f>8631.55-1800+397.11+1000</f>
        <v>8228.66</v>
      </c>
      <c r="K442" s="488">
        <v>0</v>
      </c>
      <c r="L442" s="489" t="s">
        <v>96</v>
      </c>
      <c r="M442" s="842"/>
    </row>
    <row r="443" spans="1:13" s="25" customFormat="1" ht="24.75" customHeight="1">
      <c r="A443" s="841"/>
      <c r="B443" s="789"/>
      <c r="C443" s="413"/>
      <c r="D443" s="845"/>
      <c r="E443" s="485">
        <f t="shared" si="67"/>
        <v>9699.46648</v>
      </c>
      <c r="F443" s="485"/>
      <c r="G443" s="485">
        <f t="shared" si="68"/>
        <v>1006.9820000000001</v>
      </c>
      <c r="H443" s="486">
        <v>0</v>
      </c>
      <c r="I443" s="486">
        <f>607.273+227.345+172.364</f>
        <v>1006.9820000000001</v>
      </c>
      <c r="J443" s="486">
        <f>10509.141+105.556-2200-617.733+133+762.52048</f>
        <v>8692.48448</v>
      </c>
      <c r="K443" s="488">
        <v>0</v>
      </c>
      <c r="L443" s="489" t="s">
        <v>277</v>
      </c>
      <c r="M443" s="842"/>
    </row>
    <row r="444" spans="1:13" s="25" customFormat="1" ht="35.25" customHeight="1">
      <c r="A444" s="841"/>
      <c r="B444" s="789"/>
      <c r="C444" s="413"/>
      <c r="D444" s="845"/>
      <c r="E444" s="485">
        <f t="shared" si="67"/>
        <v>4763.355530000001</v>
      </c>
      <c r="F444" s="485"/>
      <c r="G444" s="485">
        <f t="shared" si="68"/>
        <v>0</v>
      </c>
      <c r="H444" s="486"/>
      <c r="I444" s="486">
        <v>0</v>
      </c>
      <c r="J444" s="486">
        <f>4700.622+104.16-92.24918+50.82271</f>
        <v>4763.355530000001</v>
      </c>
      <c r="K444" s="488">
        <v>0</v>
      </c>
      <c r="L444" s="489" t="s">
        <v>282</v>
      </c>
      <c r="M444" s="842"/>
    </row>
    <row r="445" spans="1:13" s="25" customFormat="1" ht="24.75" customHeight="1">
      <c r="A445" s="841"/>
      <c r="B445" s="789"/>
      <c r="C445" s="413"/>
      <c r="D445" s="845">
        <v>2018</v>
      </c>
      <c r="E445" s="485">
        <f t="shared" si="67"/>
        <v>0</v>
      </c>
      <c r="F445" s="485">
        <f>SUM(F446:F450)</f>
        <v>0</v>
      </c>
      <c r="G445" s="485">
        <f>SUM(G446:G450)</f>
        <v>0</v>
      </c>
      <c r="H445" s="485">
        <f>SUM(H446:H450)</f>
        <v>0</v>
      </c>
      <c r="I445" s="485">
        <f>SUM(I446:I450)</f>
        <v>0</v>
      </c>
      <c r="J445" s="485">
        <f>SUM(J446:J450)</f>
        <v>0</v>
      </c>
      <c r="K445" s="80"/>
      <c r="L445" s="415"/>
      <c r="M445" s="842"/>
    </row>
    <row r="446" spans="1:13" s="25" customFormat="1" ht="24.75" customHeight="1">
      <c r="A446" s="841"/>
      <c r="B446" s="789"/>
      <c r="C446" s="413"/>
      <c r="D446" s="845"/>
      <c r="E446" s="485">
        <f t="shared" si="67"/>
        <v>0</v>
      </c>
      <c r="F446" s="103"/>
      <c r="G446" s="485">
        <f aca="true" t="shared" si="69" ref="G446:G460">H446+I446</f>
        <v>0</v>
      </c>
      <c r="H446" s="486"/>
      <c r="I446" s="486"/>
      <c r="J446" s="486">
        <v>0</v>
      </c>
      <c r="K446" s="488"/>
      <c r="L446" s="489" t="s">
        <v>274</v>
      </c>
      <c r="M446" s="842"/>
    </row>
    <row r="447" spans="1:13" s="25" customFormat="1" ht="24.75" customHeight="1">
      <c r="A447" s="841"/>
      <c r="B447" s="789"/>
      <c r="C447" s="413"/>
      <c r="D447" s="845"/>
      <c r="E447" s="485">
        <f t="shared" si="67"/>
        <v>0</v>
      </c>
      <c r="F447" s="103"/>
      <c r="G447" s="485">
        <f t="shared" si="69"/>
        <v>0</v>
      </c>
      <c r="H447" s="486"/>
      <c r="I447" s="486"/>
      <c r="J447" s="486">
        <v>0</v>
      </c>
      <c r="K447" s="488"/>
      <c r="L447" s="489" t="s">
        <v>275</v>
      </c>
      <c r="M447" s="842"/>
    </row>
    <row r="448" spans="1:13" s="25" customFormat="1" ht="24.75" customHeight="1">
      <c r="A448" s="841"/>
      <c r="B448" s="789"/>
      <c r="C448" s="413"/>
      <c r="D448" s="845"/>
      <c r="E448" s="485">
        <f t="shared" si="67"/>
        <v>0</v>
      </c>
      <c r="F448" s="103"/>
      <c r="G448" s="485">
        <f t="shared" si="69"/>
        <v>0</v>
      </c>
      <c r="H448" s="486"/>
      <c r="I448" s="486"/>
      <c r="J448" s="486">
        <v>0</v>
      </c>
      <c r="K448" s="488"/>
      <c r="L448" s="489" t="s">
        <v>276</v>
      </c>
      <c r="M448" s="842"/>
    </row>
    <row r="449" spans="1:13" s="25" customFormat="1" ht="24.75" customHeight="1">
      <c r="A449" s="841"/>
      <c r="B449" s="789"/>
      <c r="C449" s="413"/>
      <c r="D449" s="845"/>
      <c r="E449" s="485">
        <f t="shared" si="67"/>
        <v>0</v>
      </c>
      <c r="F449" s="103"/>
      <c r="G449" s="485">
        <f t="shared" si="69"/>
        <v>0</v>
      </c>
      <c r="H449" s="486"/>
      <c r="I449" s="486"/>
      <c r="J449" s="486">
        <v>0</v>
      </c>
      <c r="K449" s="488"/>
      <c r="L449" s="489" t="s">
        <v>94</v>
      </c>
      <c r="M449" s="842"/>
    </row>
    <row r="450" spans="1:13" s="25" customFormat="1" ht="24.75" customHeight="1" thickBot="1">
      <c r="A450" s="841"/>
      <c r="B450" s="789"/>
      <c r="C450" s="413"/>
      <c r="D450" s="845"/>
      <c r="E450" s="162">
        <f t="shared" si="67"/>
        <v>0</v>
      </c>
      <c r="F450" s="416"/>
      <c r="G450" s="162">
        <f t="shared" si="69"/>
        <v>0</v>
      </c>
      <c r="H450" s="163"/>
      <c r="I450" s="163"/>
      <c r="J450" s="163">
        <v>0</v>
      </c>
      <c r="K450" s="147"/>
      <c r="L450" s="417" t="s">
        <v>96</v>
      </c>
      <c r="M450" s="842"/>
    </row>
    <row r="451" spans="1:13" s="25" customFormat="1" ht="24.75" customHeight="1" thickBot="1">
      <c r="A451" s="841"/>
      <c r="B451" s="789"/>
      <c r="C451" s="413"/>
      <c r="D451" s="791">
        <v>2019</v>
      </c>
      <c r="E451" s="109">
        <f t="shared" si="67"/>
        <v>229770.53044</v>
      </c>
      <c r="F451" s="110">
        <f>SUM(F452:F460)</f>
        <v>150533.8</v>
      </c>
      <c r="G451" s="110">
        <f t="shared" si="69"/>
        <v>1276.052</v>
      </c>
      <c r="H451" s="110">
        <f>H452+H453+H454+H455+H456+H458+H460</f>
        <v>0</v>
      </c>
      <c r="I451" s="110">
        <f>I452+I453+I454+I455+I456+I458+I460</f>
        <v>1276.052</v>
      </c>
      <c r="J451" s="110">
        <f>SUM(J452:J460)</f>
        <v>77960.67844000002</v>
      </c>
      <c r="K451" s="110">
        <f>SUM(K452:K460)</f>
        <v>0</v>
      </c>
      <c r="L451" s="418"/>
      <c r="M451" s="842"/>
    </row>
    <row r="452" spans="1:13" s="25" customFormat="1" ht="24.75" customHeight="1">
      <c r="A452" s="841"/>
      <c r="B452" s="789"/>
      <c r="C452" s="413"/>
      <c r="D452" s="791"/>
      <c r="E452" s="113">
        <f t="shared" si="67"/>
        <v>24241.684</v>
      </c>
      <c r="F452" s="113">
        <f>13252.661+1120.6</f>
        <v>14373.261</v>
      </c>
      <c r="G452" s="113">
        <f t="shared" si="69"/>
        <v>0</v>
      </c>
      <c r="H452" s="113"/>
      <c r="I452" s="113"/>
      <c r="J452" s="113">
        <f>9770.96256+1.65244--30+65.808</f>
        <v>9868.423</v>
      </c>
      <c r="K452" s="113">
        <v>0</v>
      </c>
      <c r="L452" s="419" t="s">
        <v>274</v>
      </c>
      <c r="M452" s="842"/>
    </row>
    <row r="453" spans="1:13" s="25" customFormat="1" ht="24.75" customHeight="1">
      <c r="A453" s="841"/>
      <c r="B453" s="789"/>
      <c r="C453" s="413"/>
      <c r="D453" s="791"/>
      <c r="E453" s="488">
        <f t="shared" si="67"/>
        <v>49871.14725</v>
      </c>
      <c r="F453" s="488">
        <f>29522.977-533.6</f>
        <v>28989.377</v>
      </c>
      <c r="G453" s="488">
        <f t="shared" si="69"/>
        <v>0</v>
      </c>
      <c r="H453" s="488"/>
      <c r="I453" s="488"/>
      <c r="J453" s="488">
        <f>20596.83525-30+314.935</f>
        <v>20881.77025</v>
      </c>
      <c r="K453" s="488">
        <v>0</v>
      </c>
      <c r="L453" s="489" t="s">
        <v>275</v>
      </c>
      <c r="M453" s="842"/>
    </row>
    <row r="454" spans="1:13" s="25" customFormat="1" ht="24.75" customHeight="1">
      <c r="A454" s="841"/>
      <c r="B454" s="789"/>
      <c r="C454" s="413"/>
      <c r="D454" s="791"/>
      <c r="E454" s="488">
        <f t="shared" si="67"/>
        <v>29872.57956</v>
      </c>
      <c r="F454" s="488">
        <f>15424.362+117.4</f>
        <v>15541.761999999999</v>
      </c>
      <c r="G454" s="488">
        <f t="shared" si="69"/>
        <v>0</v>
      </c>
      <c r="H454" s="488"/>
      <c r="I454" s="488"/>
      <c r="J454" s="488">
        <f>12530.84+998.142-1.65244+803.488</f>
        <v>14330.81756</v>
      </c>
      <c r="K454" s="488">
        <v>0</v>
      </c>
      <c r="L454" s="489" t="s">
        <v>276</v>
      </c>
      <c r="M454" s="842"/>
    </row>
    <row r="455" spans="1:13" s="25" customFormat="1" ht="24.75" customHeight="1">
      <c r="A455" s="841"/>
      <c r="B455" s="789"/>
      <c r="C455" s="413"/>
      <c r="D455" s="791"/>
      <c r="E455" s="488">
        <f t="shared" si="67"/>
        <v>49171.80562000001</v>
      </c>
      <c r="F455" s="488">
        <f>39746.014+486.427+1812.116</f>
        <v>42044.55700000001</v>
      </c>
      <c r="G455" s="488">
        <f t="shared" si="69"/>
        <v>0</v>
      </c>
      <c r="H455" s="488"/>
      <c r="I455" s="488"/>
      <c r="J455" s="488">
        <f>6993.76062+133.488</f>
        <v>7127.24862</v>
      </c>
      <c r="K455" s="488">
        <v>0</v>
      </c>
      <c r="L455" s="489" t="s">
        <v>94</v>
      </c>
      <c r="M455" s="842"/>
    </row>
    <row r="456" spans="1:13" s="25" customFormat="1" ht="24.75" customHeight="1">
      <c r="A456" s="841"/>
      <c r="B456" s="789"/>
      <c r="C456" s="413"/>
      <c r="D456" s="791"/>
      <c r="E456" s="488">
        <f t="shared" si="67"/>
        <v>57432.95017</v>
      </c>
      <c r="F456" s="488">
        <f>46911.986+528.073+2144.784</f>
        <v>49584.84299999999</v>
      </c>
      <c r="G456" s="488">
        <f t="shared" si="69"/>
        <v>0</v>
      </c>
      <c r="H456" s="488"/>
      <c r="I456" s="488"/>
      <c r="J456" s="488">
        <f>7595.99717+252.11</f>
        <v>7848.107169999999</v>
      </c>
      <c r="K456" s="488">
        <v>0</v>
      </c>
      <c r="L456" s="489" t="s">
        <v>96</v>
      </c>
      <c r="M456" s="842"/>
    </row>
    <row r="457" spans="1:13" s="25" customFormat="1" ht="24.75" customHeight="1">
      <c r="A457" s="841"/>
      <c r="B457" s="789"/>
      <c r="C457" s="413"/>
      <c r="D457" s="791"/>
      <c r="E457" s="488">
        <f t="shared" si="67"/>
        <v>5966.100090000001</v>
      </c>
      <c r="F457" s="488">
        <v>0</v>
      </c>
      <c r="G457" s="488">
        <f t="shared" si="69"/>
        <v>0</v>
      </c>
      <c r="H457" s="488"/>
      <c r="I457" s="488"/>
      <c r="J457" s="488">
        <f>4712.3+667.168+264.33597+127.27612+136.43+58.59</f>
        <v>5966.100090000001</v>
      </c>
      <c r="K457" s="488">
        <v>0</v>
      </c>
      <c r="L457" s="455" t="s">
        <v>283</v>
      </c>
      <c r="M457" s="842"/>
    </row>
    <row r="458" spans="1:13" s="25" customFormat="1" ht="24.75" customHeight="1">
      <c r="A458" s="841"/>
      <c r="B458" s="789"/>
      <c r="C458" s="413"/>
      <c r="D458" s="791"/>
      <c r="E458" s="488">
        <f t="shared" si="67"/>
        <v>5395.09146</v>
      </c>
      <c r="F458" s="488">
        <v>0</v>
      </c>
      <c r="G458" s="488">
        <f t="shared" si="69"/>
        <v>0</v>
      </c>
      <c r="H458" s="488"/>
      <c r="I458" s="488"/>
      <c r="J458" s="488">
        <f>5746.63146-351.54</f>
        <v>5395.09146</v>
      </c>
      <c r="K458" s="488">
        <v>0</v>
      </c>
      <c r="L458" s="455" t="s">
        <v>284</v>
      </c>
      <c r="M458" s="842"/>
    </row>
    <row r="459" spans="1:13" s="25" customFormat="1" ht="24.75" customHeight="1">
      <c r="A459" s="841"/>
      <c r="B459" s="789"/>
      <c r="C459" s="413"/>
      <c r="D459" s="791"/>
      <c r="E459" s="488">
        <f t="shared" si="67"/>
        <v>59.5</v>
      </c>
      <c r="F459" s="488">
        <v>0</v>
      </c>
      <c r="G459" s="488">
        <f t="shared" si="69"/>
        <v>0</v>
      </c>
      <c r="H459" s="488"/>
      <c r="I459" s="488"/>
      <c r="J459" s="488">
        <v>59.5</v>
      </c>
      <c r="K459" s="488">
        <v>0</v>
      </c>
      <c r="L459" s="455" t="s">
        <v>285</v>
      </c>
      <c r="M459" s="842"/>
    </row>
    <row r="460" spans="1:13" s="25" customFormat="1" ht="36" customHeight="1" thickBot="1">
      <c r="A460" s="841"/>
      <c r="B460" s="789"/>
      <c r="C460" s="420"/>
      <c r="D460" s="792"/>
      <c r="E460" s="147">
        <f t="shared" si="67"/>
        <v>7759.672289999999</v>
      </c>
      <c r="F460" s="147">
        <v>0</v>
      </c>
      <c r="G460" s="147">
        <f t="shared" si="69"/>
        <v>1276.052</v>
      </c>
      <c r="H460" s="147"/>
      <c r="I460" s="147">
        <f>1139.636+136.416</f>
        <v>1276.052</v>
      </c>
      <c r="J460" s="147">
        <f>5849.69929-59.5+585.9+107.521</f>
        <v>6483.620289999999</v>
      </c>
      <c r="K460" s="147">
        <v>0</v>
      </c>
      <c r="L460" s="480" t="s">
        <v>282</v>
      </c>
      <c r="M460" s="842"/>
    </row>
    <row r="461" spans="1:13" s="25" customFormat="1" ht="27" customHeight="1" thickBot="1">
      <c r="A461" s="841"/>
      <c r="B461" s="789"/>
      <c r="C461" s="420"/>
      <c r="D461" s="824">
        <v>2020</v>
      </c>
      <c r="E461" s="109">
        <f t="shared" si="67"/>
        <v>235602.07301</v>
      </c>
      <c r="F461" s="110">
        <f aca="true" t="shared" si="70" ref="F461:K461">SUM(F462:F470)</f>
        <v>151107</v>
      </c>
      <c r="G461" s="110">
        <f t="shared" si="70"/>
        <v>1271</v>
      </c>
      <c r="H461" s="110">
        <f t="shared" si="70"/>
        <v>0</v>
      </c>
      <c r="I461" s="110">
        <f t="shared" si="70"/>
        <v>1271</v>
      </c>
      <c r="J461" s="110">
        <f t="shared" si="70"/>
        <v>83224.07301000001</v>
      </c>
      <c r="K461" s="110">
        <f t="shared" si="70"/>
        <v>0</v>
      </c>
      <c r="L461" s="421"/>
      <c r="M461" s="842"/>
    </row>
    <row r="462" spans="1:13" s="25" customFormat="1" ht="33.75" customHeight="1">
      <c r="A462" s="841"/>
      <c r="B462" s="789"/>
      <c r="C462" s="420"/>
      <c r="D462" s="824"/>
      <c r="E462" s="113">
        <f t="shared" si="67"/>
        <v>24429.962</v>
      </c>
      <c r="F462" s="113">
        <f>14700-1292.529</f>
        <v>13407.471</v>
      </c>
      <c r="G462" s="113">
        <f aca="true" t="shared" si="71" ref="G462:G467">H462+I462</f>
        <v>0</v>
      </c>
      <c r="H462" s="113"/>
      <c r="I462" s="113"/>
      <c r="J462" s="100">
        <f>10684.932+359.399-21.84</f>
        <v>11022.491</v>
      </c>
      <c r="K462" s="113">
        <v>0</v>
      </c>
      <c r="L462" s="574" t="s">
        <v>286</v>
      </c>
      <c r="M462" s="842"/>
    </row>
    <row r="463" spans="1:13" s="25" customFormat="1" ht="39.75" customHeight="1">
      <c r="A463" s="841"/>
      <c r="B463" s="789"/>
      <c r="C463" s="420"/>
      <c r="D463" s="824"/>
      <c r="E463" s="488">
        <f t="shared" si="67"/>
        <v>52751.153000000006</v>
      </c>
      <c r="F463" s="488">
        <f>30246-286.376</f>
        <v>29959.624</v>
      </c>
      <c r="G463" s="488">
        <f t="shared" si="71"/>
        <v>0</v>
      </c>
      <c r="H463" s="488"/>
      <c r="I463" s="488"/>
      <c r="J463" s="486">
        <f>21928.883+791.842+200-129.196</f>
        <v>22791.529000000002</v>
      </c>
      <c r="K463" s="488">
        <v>0</v>
      </c>
      <c r="L463" s="474" t="s">
        <v>287</v>
      </c>
      <c r="M463" s="842"/>
    </row>
    <row r="464" spans="1:13" s="25" customFormat="1" ht="33" customHeight="1">
      <c r="A464" s="841"/>
      <c r="B464" s="789"/>
      <c r="C464" s="420"/>
      <c r="D464" s="824"/>
      <c r="E464" s="488">
        <f t="shared" si="67"/>
        <v>29488.001</v>
      </c>
      <c r="F464" s="488">
        <f>16200-1075.066</f>
        <v>15124.934</v>
      </c>
      <c r="G464" s="488">
        <f t="shared" si="71"/>
        <v>0</v>
      </c>
      <c r="H464" s="488"/>
      <c r="I464" s="488"/>
      <c r="J464" s="486">
        <f>14792.02+385.475-814.428</f>
        <v>14363.067000000001</v>
      </c>
      <c r="K464" s="488">
        <v>0</v>
      </c>
      <c r="L464" s="474" t="s">
        <v>288</v>
      </c>
      <c r="M464" s="842"/>
    </row>
    <row r="465" spans="1:13" s="25" customFormat="1" ht="27.75" customHeight="1">
      <c r="A465" s="841"/>
      <c r="B465" s="789"/>
      <c r="C465" s="420"/>
      <c r="D465" s="824"/>
      <c r="E465" s="488">
        <f t="shared" si="67"/>
        <v>52028.272</v>
      </c>
      <c r="F465" s="488">
        <f>40601+2420.539+901.952</f>
        <v>43923.490999999995</v>
      </c>
      <c r="G465" s="488">
        <f t="shared" si="71"/>
        <v>0</v>
      </c>
      <c r="H465" s="488"/>
      <c r="I465" s="488"/>
      <c r="J465" s="486">
        <f>7875.425+81.356+148</f>
        <v>8104.781</v>
      </c>
      <c r="K465" s="488">
        <v>0</v>
      </c>
      <c r="L465" s="474" t="s">
        <v>94</v>
      </c>
      <c r="M465" s="842"/>
    </row>
    <row r="466" spans="1:13" s="25" customFormat="1" ht="27" customHeight="1">
      <c r="A466" s="841"/>
      <c r="B466" s="789"/>
      <c r="C466" s="420"/>
      <c r="D466" s="824"/>
      <c r="E466" s="488">
        <f t="shared" si="67"/>
        <v>56928.04151</v>
      </c>
      <c r="F466" s="488">
        <f>47860+233.432+598.048</f>
        <v>48691.48</v>
      </c>
      <c r="G466" s="488">
        <f t="shared" si="71"/>
        <v>0</v>
      </c>
      <c r="H466" s="488"/>
      <c r="I466" s="488"/>
      <c r="J466" s="486">
        <f>8506.19+110.34-379.96849</f>
        <v>8236.561510000001</v>
      </c>
      <c r="K466" s="488">
        <v>0</v>
      </c>
      <c r="L466" s="474" t="s">
        <v>96</v>
      </c>
      <c r="M466" s="842"/>
    </row>
    <row r="467" spans="1:13" s="25" customFormat="1" ht="33.75" customHeight="1">
      <c r="A467" s="841"/>
      <c r="B467" s="789"/>
      <c r="C467" s="420"/>
      <c r="D467" s="824"/>
      <c r="E467" s="488">
        <f t="shared" si="67"/>
        <v>6761.31</v>
      </c>
      <c r="F467" s="488">
        <v>0</v>
      </c>
      <c r="G467" s="488">
        <f t="shared" si="71"/>
        <v>0</v>
      </c>
      <c r="H467" s="488"/>
      <c r="I467" s="488"/>
      <c r="J467" s="486">
        <f>5710.81+1050.5</f>
        <v>6761.31</v>
      </c>
      <c r="K467" s="488">
        <v>0</v>
      </c>
      <c r="L467" s="474" t="s">
        <v>289</v>
      </c>
      <c r="M467" s="842"/>
    </row>
    <row r="468" spans="1:13" s="25" customFormat="1" ht="27" customHeight="1">
      <c r="A468" s="841"/>
      <c r="B468" s="789"/>
      <c r="C468" s="420"/>
      <c r="D468" s="824"/>
      <c r="E468" s="488">
        <f t="shared" si="67"/>
        <v>5709.542</v>
      </c>
      <c r="F468" s="488">
        <v>0</v>
      </c>
      <c r="G468" s="488">
        <v>0</v>
      </c>
      <c r="H468" s="488"/>
      <c r="I468" s="488"/>
      <c r="J468" s="486">
        <v>5709.542</v>
      </c>
      <c r="K468" s="488"/>
      <c r="L468" s="474" t="s">
        <v>284</v>
      </c>
      <c r="M468" s="842"/>
    </row>
    <row r="469" spans="1:13" s="25" customFormat="1" ht="27" customHeight="1">
      <c r="A469" s="841"/>
      <c r="B469" s="789"/>
      <c r="C469" s="420"/>
      <c r="D469" s="824"/>
      <c r="E469" s="488">
        <f t="shared" si="67"/>
        <v>1460.973</v>
      </c>
      <c r="F469" s="488">
        <v>0</v>
      </c>
      <c r="G469" s="147">
        <f aca="true" t="shared" si="72" ref="G469:G483">H469+I469</f>
        <v>1271</v>
      </c>
      <c r="H469" s="488"/>
      <c r="I469" s="488">
        <v>1271</v>
      </c>
      <c r="J469" s="486">
        <f>190-0.127+0.1</f>
        <v>189.97299999999998</v>
      </c>
      <c r="K469" s="488"/>
      <c r="L469" s="474" t="s">
        <v>290</v>
      </c>
      <c r="M469" s="842"/>
    </row>
    <row r="470" spans="1:13" s="25" customFormat="1" ht="27" customHeight="1" thickBot="1">
      <c r="A470" s="841"/>
      <c r="B470" s="789"/>
      <c r="C470" s="420"/>
      <c r="D470" s="824"/>
      <c r="E470" s="147">
        <f t="shared" si="67"/>
        <v>6044.8185</v>
      </c>
      <c r="F470" s="147">
        <v>0</v>
      </c>
      <c r="G470" s="147">
        <f t="shared" si="72"/>
        <v>0</v>
      </c>
      <c r="H470" s="147"/>
      <c r="I470" s="147">
        <v>0</v>
      </c>
      <c r="J470" s="163">
        <f>6405.021-360.3295+0.127</f>
        <v>6044.8185</v>
      </c>
      <c r="K470" s="147">
        <v>0</v>
      </c>
      <c r="L470" s="461" t="s">
        <v>291</v>
      </c>
      <c r="M470" s="842"/>
    </row>
    <row r="471" spans="1:13" s="353" customFormat="1" ht="27" customHeight="1" thickBot="1">
      <c r="A471" s="841"/>
      <c r="B471" s="789"/>
      <c r="C471" s="349"/>
      <c r="D471" s="350">
        <v>2021</v>
      </c>
      <c r="E471" s="351">
        <f t="shared" si="67"/>
        <v>231125.05686999997</v>
      </c>
      <c r="F471" s="351">
        <f>SUM(F472:F483)</f>
        <v>150227</v>
      </c>
      <c r="G471" s="351">
        <f t="shared" si="72"/>
        <v>1397.8</v>
      </c>
      <c r="H471" s="351">
        <f>SUM(H472:H483)</f>
        <v>0</v>
      </c>
      <c r="I471" s="351">
        <f>SUM(I472:I483)</f>
        <v>1397.8</v>
      </c>
      <c r="J471" s="351">
        <f>SUM(J472:J483)</f>
        <v>79500.25687</v>
      </c>
      <c r="K471" s="351">
        <f>SUM(K472:K483)</f>
        <v>0</v>
      </c>
      <c r="L471" s="352"/>
      <c r="M471" s="842"/>
    </row>
    <row r="472" spans="1:13" s="353" customFormat="1" ht="27" customHeight="1">
      <c r="A472" s="841"/>
      <c r="B472" s="789"/>
      <c r="C472" s="349"/>
      <c r="D472" s="354"/>
      <c r="E472" s="355">
        <f t="shared" si="67"/>
        <v>17482.861</v>
      </c>
      <c r="F472" s="356">
        <f>13023.195+491.205</f>
        <v>13514.4</v>
      </c>
      <c r="G472" s="356">
        <f t="shared" si="72"/>
        <v>0</v>
      </c>
      <c r="H472" s="356"/>
      <c r="I472" s="356"/>
      <c r="J472" s="356">
        <f>4171.573-203.112</f>
        <v>3968.4610000000002</v>
      </c>
      <c r="K472" s="356">
        <v>0</v>
      </c>
      <c r="L472" s="357" t="s">
        <v>292</v>
      </c>
      <c r="M472" s="842"/>
    </row>
    <row r="473" spans="1:13" s="353" customFormat="1" ht="27" customHeight="1">
      <c r="A473" s="841"/>
      <c r="B473" s="789"/>
      <c r="C473" s="349"/>
      <c r="D473" s="354"/>
      <c r="E473" s="355">
        <f t="shared" si="67"/>
        <v>6798.8820000000005</v>
      </c>
      <c r="F473" s="356"/>
      <c r="G473" s="356">
        <f t="shared" si="72"/>
        <v>0</v>
      </c>
      <c r="H473" s="356"/>
      <c r="I473" s="356"/>
      <c r="J473" s="356">
        <f>6595.77+203.112</f>
        <v>6798.8820000000005</v>
      </c>
      <c r="K473" s="356">
        <v>0</v>
      </c>
      <c r="L473" s="357" t="s">
        <v>293</v>
      </c>
      <c r="M473" s="842"/>
    </row>
    <row r="474" spans="1:13" s="353" customFormat="1" ht="27" customHeight="1">
      <c r="A474" s="841"/>
      <c r="B474" s="789"/>
      <c r="C474" s="349"/>
      <c r="D474" s="358"/>
      <c r="E474" s="359">
        <f t="shared" si="67"/>
        <v>38802.190070000004</v>
      </c>
      <c r="F474" s="360">
        <f>30670.575+956.883</f>
        <v>31627.458000000002</v>
      </c>
      <c r="G474" s="360">
        <f t="shared" si="72"/>
        <v>0</v>
      </c>
      <c r="H474" s="360"/>
      <c r="I474" s="360"/>
      <c r="J474" s="360">
        <f>8348.846-1174.11393</f>
        <v>7174.73207</v>
      </c>
      <c r="K474" s="360">
        <v>0</v>
      </c>
      <c r="L474" s="357" t="s">
        <v>294</v>
      </c>
      <c r="M474" s="842"/>
    </row>
    <row r="475" spans="1:13" s="353" customFormat="1" ht="27" customHeight="1">
      <c r="A475" s="841"/>
      <c r="B475" s="789"/>
      <c r="C475" s="349"/>
      <c r="D475" s="358"/>
      <c r="E475" s="359">
        <f t="shared" si="67"/>
        <v>14393.646999999999</v>
      </c>
      <c r="F475" s="360"/>
      <c r="G475" s="360">
        <f t="shared" si="72"/>
        <v>0</v>
      </c>
      <c r="H475" s="360"/>
      <c r="I475" s="360"/>
      <c r="J475" s="360">
        <f>13953.05+440.597</f>
        <v>14393.646999999999</v>
      </c>
      <c r="K475" s="360">
        <v>0</v>
      </c>
      <c r="L475" s="357" t="s">
        <v>295</v>
      </c>
      <c r="M475" s="842"/>
    </row>
    <row r="476" spans="1:13" s="353" customFormat="1" ht="27" customHeight="1">
      <c r="A476" s="841"/>
      <c r="B476" s="789"/>
      <c r="C476" s="349"/>
      <c r="D476" s="358"/>
      <c r="E476" s="359">
        <f t="shared" si="67"/>
        <v>20742.943</v>
      </c>
      <c r="F476" s="360">
        <f>13678.739+423.053</f>
        <v>14101.792</v>
      </c>
      <c r="G476" s="360">
        <f t="shared" si="72"/>
        <v>0</v>
      </c>
      <c r="H476" s="360"/>
      <c r="I476" s="360"/>
      <c r="J476" s="360">
        <f>7276.927-635.776</f>
        <v>6641.151</v>
      </c>
      <c r="K476" s="360">
        <v>0</v>
      </c>
      <c r="L476" s="357" t="s">
        <v>296</v>
      </c>
      <c r="M476" s="842"/>
    </row>
    <row r="477" spans="1:13" s="353" customFormat="1" ht="27" customHeight="1">
      <c r="A477" s="841"/>
      <c r="B477" s="789"/>
      <c r="C477" s="349"/>
      <c r="D477" s="358"/>
      <c r="E477" s="359">
        <f t="shared" si="67"/>
        <v>7098.675</v>
      </c>
      <c r="F477" s="360"/>
      <c r="G477" s="360">
        <f t="shared" si="72"/>
        <v>0</v>
      </c>
      <c r="H477" s="360"/>
      <c r="I477" s="360"/>
      <c r="J477" s="360">
        <f>6886.189+212.486</f>
        <v>7098.675</v>
      </c>
      <c r="K477" s="360">
        <v>0</v>
      </c>
      <c r="L477" s="357" t="s">
        <v>297</v>
      </c>
      <c r="M477" s="842"/>
    </row>
    <row r="478" spans="1:13" s="353" customFormat="1" ht="27" customHeight="1">
      <c r="A478" s="841"/>
      <c r="B478" s="789"/>
      <c r="C478" s="349"/>
      <c r="D478" s="358"/>
      <c r="E478" s="359">
        <f t="shared" si="67"/>
        <v>52472.69500000001</v>
      </c>
      <c r="F478" s="360">
        <f>43276.754+1680.656</f>
        <v>44957.41</v>
      </c>
      <c r="G478" s="360">
        <f t="shared" si="72"/>
        <v>0</v>
      </c>
      <c r="H478" s="360"/>
      <c r="I478" s="360"/>
      <c r="J478" s="360">
        <f>7296.922+303.648+3.3-88.585</f>
        <v>7515.285</v>
      </c>
      <c r="K478" s="360">
        <v>0</v>
      </c>
      <c r="L478" s="361" t="s">
        <v>94</v>
      </c>
      <c r="M478" s="842"/>
    </row>
    <row r="479" spans="1:13" s="353" customFormat="1" ht="27" customHeight="1">
      <c r="A479" s="841"/>
      <c r="B479" s="789"/>
      <c r="C479" s="349"/>
      <c r="D479" s="358"/>
      <c r="E479" s="359">
        <f t="shared" si="67"/>
        <v>54475.842</v>
      </c>
      <c r="F479" s="360">
        <f>44248.581+1777.359</f>
        <v>46025.939999999995</v>
      </c>
      <c r="G479" s="360">
        <f t="shared" si="72"/>
        <v>0</v>
      </c>
      <c r="H479" s="360"/>
      <c r="I479" s="360"/>
      <c r="J479" s="360">
        <f>7475.395+971.147+3.3+0.06</f>
        <v>8449.902</v>
      </c>
      <c r="K479" s="360">
        <v>0</v>
      </c>
      <c r="L479" s="361" t="s">
        <v>96</v>
      </c>
      <c r="M479" s="842"/>
    </row>
    <row r="480" spans="1:13" s="353" customFormat="1" ht="27" customHeight="1">
      <c r="A480" s="841"/>
      <c r="B480" s="789"/>
      <c r="C480" s="349"/>
      <c r="D480" s="358"/>
      <c r="E480" s="359">
        <f t="shared" si="67"/>
        <v>5223.166800000001</v>
      </c>
      <c r="F480" s="360">
        <v>0</v>
      </c>
      <c r="G480" s="360">
        <f t="shared" si="72"/>
        <v>0</v>
      </c>
      <c r="H480" s="360"/>
      <c r="I480" s="360"/>
      <c r="J480" s="360">
        <f>5147.694-32.001-164.606+35.50492+126.57488+110</f>
        <v>5223.166800000001</v>
      </c>
      <c r="K480" s="360">
        <v>0</v>
      </c>
      <c r="L480" s="361" t="s">
        <v>298</v>
      </c>
      <c r="M480" s="842"/>
    </row>
    <row r="481" spans="1:13" s="353" customFormat="1" ht="27" customHeight="1">
      <c r="A481" s="841"/>
      <c r="B481" s="789"/>
      <c r="C481" s="349"/>
      <c r="D481" s="358"/>
      <c r="E481" s="359">
        <f t="shared" si="67"/>
        <v>5922.36</v>
      </c>
      <c r="F481" s="360">
        <v>0</v>
      </c>
      <c r="G481" s="360">
        <f t="shared" si="72"/>
        <v>0</v>
      </c>
      <c r="H481" s="360"/>
      <c r="I481" s="360"/>
      <c r="J481" s="360">
        <f>6030.2+89.057-196.897</f>
        <v>5922.36</v>
      </c>
      <c r="K481" s="360"/>
      <c r="L481" s="361" t="s">
        <v>284</v>
      </c>
      <c r="M481" s="842"/>
    </row>
    <row r="482" spans="1:13" s="353" customFormat="1" ht="27" customHeight="1">
      <c r="A482" s="841"/>
      <c r="B482" s="789"/>
      <c r="C482" s="349"/>
      <c r="D482" s="358"/>
      <c r="E482" s="359">
        <f t="shared" si="67"/>
        <v>208.87</v>
      </c>
      <c r="F482" s="360">
        <v>0</v>
      </c>
      <c r="G482" s="360">
        <f t="shared" si="72"/>
        <v>0</v>
      </c>
      <c r="H482" s="360"/>
      <c r="I482" s="360"/>
      <c r="J482" s="360">
        <v>208.87</v>
      </c>
      <c r="K482" s="360"/>
      <c r="L482" s="361" t="s">
        <v>290</v>
      </c>
      <c r="M482" s="842"/>
    </row>
    <row r="483" spans="1:13" s="353" customFormat="1" ht="31.5" customHeight="1" thickBot="1">
      <c r="A483" s="841"/>
      <c r="B483" s="789"/>
      <c r="C483" s="533"/>
      <c r="D483" s="362"/>
      <c r="E483" s="363">
        <f t="shared" si="67"/>
        <v>7502.925</v>
      </c>
      <c r="F483" s="364">
        <v>0</v>
      </c>
      <c r="G483" s="364">
        <f t="shared" si="72"/>
        <v>1397.8</v>
      </c>
      <c r="H483" s="364"/>
      <c r="I483" s="364">
        <v>1397.8</v>
      </c>
      <c r="J483" s="364">
        <f>6308.098-202.973</f>
        <v>6105.125</v>
      </c>
      <c r="K483" s="364">
        <v>0</v>
      </c>
      <c r="L483" s="365" t="s">
        <v>291</v>
      </c>
      <c r="M483" s="842"/>
    </row>
    <row r="484" spans="1:13" s="353" customFormat="1" ht="27.75" customHeight="1" thickBot="1">
      <c r="A484" s="841"/>
      <c r="B484" s="789"/>
      <c r="C484" s="551"/>
      <c r="D484" s="552">
        <v>2022</v>
      </c>
      <c r="E484" s="553">
        <f aca="true" t="shared" si="73" ref="E484:K484">SUM(E485:E496)</f>
        <v>240333.54971350002</v>
      </c>
      <c r="F484" s="554">
        <f t="shared" si="73"/>
        <v>149095.8</v>
      </c>
      <c r="G484" s="554">
        <f t="shared" si="73"/>
        <v>1397.8</v>
      </c>
      <c r="H484" s="554">
        <f t="shared" si="73"/>
        <v>0</v>
      </c>
      <c r="I484" s="554">
        <f t="shared" si="73"/>
        <v>1397.8</v>
      </c>
      <c r="J484" s="554">
        <f t="shared" si="73"/>
        <v>89839.9497135</v>
      </c>
      <c r="K484" s="554">
        <f t="shared" si="73"/>
        <v>0</v>
      </c>
      <c r="L484" s="555"/>
      <c r="M484" s="843"/>
    </row>
    <row r="485" spans="1:13" s="353" customFormat="1" ht="27" customHeight="1">
      <c r="A485" s="841"/>
      <c r="B485" s="789"/>
      <c r="C485" s="556"/>
      <c r="D485" s="540"/>
      <c r="E485" s="537">
        <f>F485+G485+J485+K485</f>
        <v>18471.54</v>
      </c>
      <c r="F485" s="356">
        <v>13146.02</v>
      </c>
      <c r="G485" s="356">
        <f aca="true" t="shared" si="74" ref="G485:G496">H485+I485</f>
        <v>0</v>
      </c>
      <c r="H485" s="356"/>
      <c r="I485" s="356"/>
      <c r="J485" s="123">
        <f>4000*1.05+785.52+340</f>
        <v>5325.52</v>
      </c>
      <c r="K485" s="356">
        <v>0</v>
      </c>
      <c r="L485" s="557" t="s">
        <v>292</v>
      </c>
      <c r="M485" s="843"/>
    </row>
    <row r="486" spans="1:13" s="353" customFormat="1" ht="27" customHeight="1">
      <c r="A486" s="841"/>
      <c r="B486" s="789"/>
      <c r="C486" s="556"/>
      <c r="D486" s="540"/>
      <c r="E486" s="537">
        <f aca="true" t="shared" si="75" ref="E486:E509">F486+G486+J486+K486</f>
        <v>6890.7</v>
      </c>
      <c r="F486" s="356"/>
      <c r="G486" s="356">
        <f t="shared" si="74"/>
        <v>0</v>
      </c>
      <c r="H486" s="356"/>
      <c r="I486" s="356"/>
      <c r="J486" s="123">
        <v>6890.7</v>
      </c>
      <c r="K486" s="356"/>
      <c r="L486" s="557" t="s">
        <v>293</v>
      </c>
      <c r="M486" s="843"/>
    </row>
    <row r="487" spans="1:13" s="353" customFormat="1" ht="27" customHeight="1">
      <c r="A487" s="841"/>
      <c r="B487" s="789"/>
      <c r="C487" s="556"/>
      <c r="D487" s="540"/>
      <c r="E487" s="538">
        <f t="shared" si="75"/>
        <v>39974.910673499995</v>
      </c>
      <c r="F487" s="360">
        <v>31655.922</v>
      </c>
      <c r="G487" s="360">
        <f t="shared" si="74"/>
        <v>0</v>
      </c>
      <c r="H487" s="360"/>
      <c r="I487" s="360"/>
      <c r="J487" s="127">
        <f>J474*1.05+785.52</f>
        <v>8318.9886735</v>
      </c>
      <c r="K487" s="360">
        <v>0</v>
      </c>
      <c r="L487" s="557" t="s">
        <v>294</v>
      </c>
      <c r="M487" s="843"/>
    </row>
    <row r="488" spans="1:13" s="353" customFormat="1" ht="27" customHeight="1">
      <c r="A488" s="841"/>
      <c r="B488" s="789"/>
      <c r="C488" s="556"/>
      <c r="D488" s="540"/>
      <c r="E488" s="538">
        <f t="shared" si="75"/>
        <v>14465.668</v>
      </c>
      <c r="F488" s="360"/>
      <c r="G488" s="360">
        <f t="shared" si="74"/>
        <v>0</v>
      </c>
      <c r="H488" s="360"/>
      <c r="I488" s="360"/>
      <c r="J488" s="127">
        <v>14465.668</v>
      </c>
      <c r="K488" s="360"/>
      <c r="L488" s="557" t="s">
        <v>295</v>
      </c>
      <c r="M488" s="843"/>
    </row>
    <row r="489" spans="1:13" s="367" customFormat="1" ht="27" customHeight="1">
      <c r="A489" s="841"/>
      <c r="B489" s="789"/>
      <c r="C489" s="556"/>
      <c r="D489" s="540"/>
      <c r="E489" s="539">
        <f t="shared" si="75"/>
        <v>21754.33655</v>
      </c>
      <c r="F489" s="366">
        <v>13995.608</v>
      </c>
      <c r="G489" s="366">
        <f t="shared" si="74"/>
        <v>0</v>
      </c>
      <c r="H489" s="366"/>
      <c r="I489" s="366"/>
      <c r="J489" s="450">
        <f>J476*1.05+785.52</f>
        <v>7758.72855</v>
      </c>
      <c r="K489" s="366">
        <v>0</v>
      </c>
      <c r="L489" s="557" t="s">
        <v>296</v>
      </c>
      <c r="M489" s="843"/>
    </row>
    <row r="490" spans="1:13" s="367" customFormat="1" ht="27" customHeight="1">
      <c r="A490" s="841"/>
      <c r="B490" s="789"/>
      <c r="C490" s="556"/>
      <c r="D490" s="540"/>
      <c r="E490" s="539">
        <f>F490+G490+J490+K490</f>
        <v>7190.493</v>
      </c>
      <c r="F490" s="366"/>
      <c r="G490" s="366">
        <f t="shared" si="74"/>
        <v>0</v>
      </c>
      <c r="H490" s="366"/>
      <c r="I490" s="366"/>
      <c r="J490" s="450">
        <v>7190.493</v>
      </c>
      <c r="K490" s="366"/>
      <c r="L490" s="557" t="s">
        <v>297</v>
      </c>
      <c r="M490" s="843"/>
    </row>
    <row r="491" spans="1:13" s="353" customFormat="1" ht="27" customHeight="1">
      <c r="A491" s="841"/>
      <c r="B491" s="789"/>
      <c r="C491" s="556"/>
      <c r="D491" s="540"/>
      <c r="E491" s="538">
        <f t="shared" si="75"/>
        <v>53654.532250000004</v>
      </c>
      <c r="F491" s="360">
        <v>44618.883</v>
      </c>
      <c r="G491" s="360">
        <f t="shared" si="74"/>
        <v>0</v>
      </c>
      <c r="H491" s="360"/>
      <c r="I491" s="360"/>
      <c r="J491" s="127">
        <f>J478*1.05+654.6+490</f>
        <v>9035.64925</v>
      </c>
      <c r="K491" s="360">
        <v>0</v>
      </c>
      <c r="L491" s="558" t="s">
        <v>94</v>
      </c>
      <c r="M491" s="843"/>
    </row>
    <row r="492" spans="1:13" s="353" customFormat="1" ht="27" customHeight="1">
      <c r="A492" s="841"/>
      <c r="B492" s="789"/>
      <c r="C492" s="556"/>
      <c r="D492" s="540"/>
      <c r="E492" s="538">
        <f t="shared" si="75"/>
        <v>56708.5641</v>
      </c>
      <c r="F492" s="360">
        <v>45679.367</v>
      </c>
      <c r="G492" s="360">
        <f t="shared" si="74"/>
        <v>0</v>
      </c>
      <c r="H492" s="360"/>
      <c r="I492" s="360"/>
      <c r="J492" s="127">
        <f>J479*1.05+2156.8</f>
        <v>11029.197100000001</v>
      </c>
      <c r="K492" s="360">
        <v>0</v>
      </c>
      <c r="L492" s="558" t="s">
        <v>96</v>
      </c>
      <c r="M492" s="843"/>
    </row>
    <row r="493" spans="1:13" s="353" customFormat="1" ht="27" customHeight="1">
      <c r="A493" s="841"/>
      <c r="B493" s="789"/>
      <c r="C493" s="556"/>
      <c r="D493" s="540"/>
      <c r="E493" s="538">
        <f t="shared" si="75"/>
        <v>6043.425140000001</v>
      </c>
      <c r="F493" s="360">
        <v>0</v>
      </c>
      <c r="G493" s="360">
        <f t="shared" si="74"/>
        <v>0</v>
      </c>
      <c r="H493" s="360"/>
      <c r="I493" s="360"/>
      <c r="J493" s="127">
        <f>J480*1.05+559.1</f>
        <v>6043.425140000001</v>
      </c>
      <c r="K493" s="360">
        <v>0</v>
      </c>
      <c r="L493" s="558" t="s">
        <v>299</v>
      </c>
      <c r="M493" s="843"/>
    </row>
    <row r="494" spans="1:13" s="353" customFormat="1" ht="27" customHeight="1">
      <c r="A494" s="841"/>
      <c r="B494" s="789"/>
      <c r="C494" s="556"/>
      <c r="D494" s="540"/>
      <c r="E494" s="538">
        <f t="shared" si="75"/>
        <v>6433.533</v>
      </c>
      <c r="F494" s="360">
        <v>0</v>
      </c>
      <c r="G494" s="360">
        <f t="shared" si="74"/>
        <v>0</v>
      </c>
      <c r="H494" s="360"/>
      <c r="I494" s="360"/>
      <c r="J494" s="127">
        <v>6433.533</v>
      </c>
      <c r="K494" s="360">
        <v>0</v>
      </c>
      <c r="L494" s="558" t="s">
        <v>284</v>
      </c>
      <c r="M494" s="843"/>
    </row>
    <row r="495" spans="1:13" s="353" customFormat="1" ht="27" customHeight="1">
      <c r="A495" s="841"/>
      <c r="B495" s="789"/>
      <c r="C495" s="559"/>
      <c r="D495" s="540"/>
      <c r="E495" s="538">
        <f t="shared" si="75"/>
        <v>208.87</v>
      </c>
      <c r="F495" s="360">
        <v>0</v>
      </c>
      <c r="G495" s="360">
        <f t="shared" si="74"/>
        <v>0</v>
      </c>
      <c r="H495" s="360"/>
      <c r="I495" s="360"/>
      <c r="J495" s="127">
        <v>208.87</v>
      </c>
      <c r="K495" s="360">
        <v>0</v>
      </c>
      <c r="L495" s="558" t="s">
        <v>300</v>
      </c>
      <c r="M495" s="843"/>
    </row>
    <row r="496" spans="1:13" s="353" customFormat="1" ht="27" customHeight="1" thickBot="1">
      <c r="A496" s="841"/>
      <c r="B496" s="789"/>
      <c r="C496" s="560"/>
      <c r="D496" s="561"/>
      <c r="E496" s="562">
        <f t="shared" si="75"/>
        <v>8536.976999999999</v>
      </c>
      <c r="F496" s="563">
        <v>0</v>
      </c>
      <c r="G496" s="563">
        <f t="shared" si="74"/>
        <v>1397.8</v>
      </c>
      <c r="H496" s="563"/>
      <c r="I496" s="563">
        <v>1397.8</v>
      </c>
      <c r="J496" s="564">
        <v>7139.177</v>
      </c>
      <c r="K496" s="563">
        <v>0</v>
      </c>
      <c r="L496" s="565" t="s">
        <v>291</v>
      </c>
      <c r="M496" s="843"/>
    </row>
    <row r="497" spans="1:13" s="353" customFormat="1" ht="27" customHeight="1" thickBot="1">
      <c r="A497" s="841"/>
      <c r="B497" s="789"/>
      <c r="C497" s="545"/>
      <c r="D497" s="546">
        <v>2023</v>
      </c>
      <c r="E497" s="547">
        <f t="shared" si="75"/>
        <v>221413.28099999996</v>
      </c>
      <c r="F497" s="548">
        <f aca="true" t="shared" si="76" ref="F497:K497">SUM(F498:F509)</f>
        <v>149165.19999999998</v>
      </c>
      <c r="G497" s="548">
        <f t="shared" si="76"/>
        <v>1397.8</v>
      </c>
      <c r="H497" s="548">
        <f t="shared" si="76"/>
        <v>0</v>
      </c>
      <c r="I497" s="548">
        <f t="shared" si="76"/>
        <v>1397.8</v>
      </c>
      <c r="J497" s="548">
        <f t="shared" si="76"/>
        <v>70850.281</v>
      </c>
      <c r="K497" s="549">
        <f t="shared" si="76"/>
        <v>0</v>
      </c>
      <c r="L497" s="550"/>
      <c r="M497" s="825"/>
    </row>
    <row r="498" spans="1:13" s="353" customFormat="1" ht="27" customHeight="1" thickBot="1">
      <c r="A498" s="841"/>
      <c r="B498" s="789"/>
      <c r="C498" s="349"/>
      <c r="D498" s="354"/>
      <c r="E498" s="355">
        <f>F498+G498+J498+K498</f>
        <v>15836.258999999998</v>
      </c>
      <c r="F498" s="356">
        <v>13152.139</v>
      </c>
      <c r="G498" s="356">
        <f aca="true" t="shared" si="77" ref="G498:G509">H498+I498</f>
        <v>0</v>
      </c>
      <c r="H498" s="356"/>
      <c r="I498" s="356"/>
      <c r="J498" s="356">
        <v>2684.12</v>
      </c>
      <c r="K498" s="356">
        <v>0</v>
      </c>
      <c r="L498" s="357" t="s">
        <v>292</v>
      </c>
      <c r="M498" s="825"/>
    </row>
    <row r="499" spans="1:13" s="353" customFormat="1" ht="27" customHeight="1" thickBot="1">
      <c r="A499" s="841"/>
      <c r="B499" s="789"/>
      <c r="C499" s="349"/>
      <c r="D499" s="354"/>
      <c r="E499" s="355">
        <f t="shared" si="75"/>
        <v>6561.047</v>
      </c>
      <c r="F499" s="356"/>
      <c r="G499" s="356">
        <f t="shared" si="77"/>
        <v>0</v>
      </c>
      <c r="H499" s="356"/>
      <c r="I499" s="356"/>
      <c r="J499" s="356">
        <v>6561.047</v>
      </c>
      <c r="K499" s="356"/>
      <c r="L499" s="357" t="s">
        <v>293</v>
      </c>
      <c r="M499" s="825"/>
    </row>
    <row r="500" spans="1:13" s="353" customFormat="1" ht="27" customHeight="1" thickBot="1">
      <c r="A500" s="841"/>
      <c r="B500" s="789"/>
      <c r="C500" s="349"/>
      <c r="D500" s="358"/>
      <c r="E500" s="355">
        <f t="shared" si="75"/>
        <v>37242.082</v>
      </c>
      <c r="F500" s="360">
        <v>31670.658</v>
      </c>
      <c r="G500" s="356">
        <f t="shared" si="77"/>
        <v>0</v>
      </c>
      <c r="H500" s="360"/>
      <c r="I500" s="360"/>
      <c r="J500" s="360">
        <v>5571.424</v>
      </c>
      <c r="K500" s="360">
        <v>0</v>
      </c>
      <c r="L500" s="357" t="s">
        <v>294</v>
      </c>
      <c r="M500" s="825"/>
    </row>
    <row r="501" spans="1:13" s="353" customFormat="1" ht="27" customHeight="1" thickBot="1">
      <c r="A501" s="841"/>
      <c r="B501" s="789"/>
      <c r="C501" s="349"/>
      <c r="D501" s="358"/>
      <c r="E501" s="355">
        <f t="shared" si="75"/>
        <v>13855.971</v>
      </c>
      <c r="F501" s="360"/>
      <c r="G501" s="356">
        <f t="shared" si="77"/>
        <v>0</v>
      </c>
      <c r="H501" s="360"/>
      <c r="I501" s="360"/>
      <c r="J501" s="360">
        <v>13855.971</v>
      </c>
      <c r="K501" s="360"/>
      <c r="L501" s="357" t="s">
        <v>295</v>
      </c>
      <c r="M501" s="825"/>
    </row>
    <row r="502" spans="1:13" s="353" customFormat="1" ht="27" customHeight="1" thickBot="1">
      <c r="A502" s="841"/>
      <c r="B502" s="789"/>
      <c r="C502" s="349"/>
      <c r="D502" s="358"/>
      <c r="E502" s="355">
        <f t="shared" si="75"/>
        <v>20224.777</v>
      </c>
      <c r="F502" s="360">
        <v>14002.122</v>
      </c>
      <c r="G502" s="356">
        <f t="shared" si="77"/>
        <v>0</v>
      </c>
      <c r="H502" s="360"/>
      <c r="I502" s="360"/>
      <c r="J502" s="360">
        <v>6222.655</v>
      </c>
      <c r="K502" s="360">
        <v>0</v>
      </c>
      <c r="L502" s="357" t="s">
        <v>296</v>
      </c>
      <c r="M502" s="825"/>
    </row>
    <row r="503" spans="1:13" s="353" customFormat="1" ht="27" customHeight="1" thickBot="1">
      <c r="A503" s="841"/>
      <c r="B503" s="789"/>
      <c r="C503" s="349"/>
      <c r="D503" s="358"/>
      <c r="E503" s="355">
        <f t="shared" si="75"/>
        <v>6845.526</v>
      </c>
      <c r="F503" s="360"/>
      <c r="G503" s="356">
        <f t="shared" si="77"/>
        <v>0</v>
      </c>
      <c r="H503" s="360"/>
      <c r="I503" s="360"/>
      <c r="J503" s="360">
        <v>6845.526</v>
      </c>
      <c r="K503" s="360"/>
      <c r="L503" s="357" t="s">
        <v>297</v>
      </c>
      <c r="M503" s="825"/>
    </row>
    <row r="504" spans="1:13" s="353" customFormat="1" ht="27" customHeight="1" thickBot="1">
      <c r="A504" s="841"/>
      <c r="B504" s="789"/>
      <c r="C504" s="349"/>
      <c r="D504" s="358"/>
      <c r="E504" s="359">
        <f t="shared" si="75"/>
        <v>50647.047</v>
      </c>
      <c r="F504" s="360">
        <v>44639.651</v>
      </c>
      <c r="G504" s="360">
        <f t="shared" si="77"/>
        <v>0</v>
      </c>
      <c r="H504" s="360"/>
      <c r="I504" s="360"/>
      <c r="J504" s="360">
        <v>6007.396</v>
      </c>
      <c r="K504" s="360">
        <v>0</v>
      </c>
      <c r="L504" s="368" t="s">
        <v>94</v>
      </c>
      <c r="M504" s="825"/>
    </row>
    <row r="505" spans="1:13" s="353" customFormat="1" ht="27" customHeight="1" thickBot="1">
      <c r="A505" s="841"/>
      <c r="B505" s="789"/>
      <c r="C505" s="349"/>
      <c r="D505" s="358"/>
      <c r="E505" s="359">
        <f t="shared" si="75"/>
        <v>52493.57</v>
      </c>
      <c r="F505" s="360">
        <v>45700.63</v>
      </c>
      <c r="G505" s="360">
        <f t="shared" si="77"/>
        <v>0</v>
      </c>
      <c r="H505" s="360"/>
      <c r="I505" s="360"/>
      <c r="J505" s="360">
        <v>6792.94</v>
      </c>
      <c r="K505" s="360">
        <v>0</v>
      </c>
      <c r="L505" s="368" t="s">
        <v>96</v>
      </c>
      <c r="M505" s="825"/>
    </row>
    <row r="506" spans="1:13" s="353" customFormat="1" ht="27" customHeight="1" thickBot="1">
      <c r="A506" s="841"/>
      <c r="B506" s="789"/>
      <c r="C506" s="349"/>
      <c r="D506" s="358"/>
      <c r="E506" s="359">
        <f t="shared" si="75"/>
        <v>4762.781</v>
      </c>
      <c r="F506" s="360">
        <v>0</v>
      </c>
      <c r="G506" s="360">
        <f t="shared" si="77"/>
        <v>0</v>
      </c>
      <c r="H506" s="360"/>
      <c r="I506" s="360"/>
      <c r="J506" s="360">
        <f>5183.184-420.403</f>
        <v>4762.781</v>
      </c>
      <c r="K506" s="360">
        <v>0</v>
      </c>
      <c r="L506" s="368" t="s">
        <v>301</v>
      </c>
      <c r="M506" s="825"/>
    </row>
    <row r="507" spans="1:13" s="353" customFormat="1" ht="27" customHeight="1" thickBot="1">
      <c r="A507" s="841"/>
      <c r="B507" s="789"/>
      <c r="C507" s="349"/>
      <c r="D507" s="358"/>
      <c r="E507" s="359">
        <f t="shared" si="75"/>
        <v>5541.096</v>
      </c>
      <c r="F507" s="360">
        <v>0</v>
      </c>
      <c r="G507" s="360">
        <f t="shared" si="77"/>
        <v>0</v>
      </c>
      <c r="H507" s="360"/>
      <c r="I507" s="360"/>
      <c r="J507" s="360">
        <f>6030.2-489.104</f>
        <v>5541.096</v>
      </c>
      <c r="K507" s="360">
        <v>0</v>
      </c>
      <c r="L507" s="368" t="s">
        <v>284</v>
      </c>
      <c r="M507" s="825"/>
    </row>
    <row r="508" spans="1:13" s="353" customFormat="1" ht="27" customHeight="1" thickBot="1">
      <c r="A508" s="841"/>
      <c r="B508" s="789"/>
      <c r="C508" s="533"/>
      <c r="D508" s="362"/>
      <c r="E508" s="363">
        <f t="shared" si="75"/>
        <v>208.87</v>
      </c>
      <c r="F508" s="364">
        <v>0</v>
      </c>
      <c r="G508" s="364">
        <f t="shared" si="77"/>
        <v>0</v>
      </c>
      <c r="H508" s="364"/>
      <c r="I508" s="364"/>
      <c r="J508" s="364">
        <v>208.87</v>
      </c>
      <c r="K508" s="364">
        <v>0</v>
      </c>
      <c r="L508" s="369" t="s">
        <v>302</v>
      </c>
      <c r="M508" s="825"/>
    </row>
    <row r="509" spans="1:13" s="353" customFormat="1" ht="27" customHeight="1" thickBot="1">
      <c r="A509" s="844"/>
      <c r="B509" s="790"/>
      <c r="C509" s="566"/>
      <c r="D509" s="567"/>
      <c r="E509" s="568">
        <f t="shared" si="75"/>
        <v>7194.255</v>
      </c>
      <c r="F509" s="569">
        <v>0</v>
      </c>
      <c r="G509" s="569">
        <f t="shared" si="77"/>
        <v>1397.8</v>
      </c>
      <c r="H509" s="569"/>
      <c r="I509" s="569">
        <v>1397.8</v>
      </c>
      <c r="J509" s="569">
        <f>6308.098-511.643</f>
        <v>5796.455</v>
      </c>
      <c r="K509" s="569">
        <v>0</v>
      </c>
      <c r="L509" s="610" t="s">
        <v>291</v>
      </c>
      <c r="M509" s="826"/>
    </row>
    <row r="510" spans="1:13" s="353" customFormat="1" ht="27" customHeight="1">
      <c r="A510" s="891"/>
      <c r="B510" s="888" t="s">
        <v>356</v>
      </c>
      <c r="C510" s="571"/>
      <c r="D510" s="552">
        <v>2024</v>
      </c>
      <c r="E510" s="684">
        <f>F510+G510+J510+K510</f>
        <v>221413.28099999996</v>
      </c>
      <c r="F510" s="684">
        <f aca="true" t="shared" si="78" ref="F510:K510">SUM(F511:F522)</f>
        <v>149165.19999999998</v>
      </c>
      <c r="G510" s="684">
        <f t="shared" si="78"/>
        <v>1397.8</v>
      </c>
      <c r="H510" s="684">
        <f t="shared" si="78"/>
        <v>0</v>
      </c>
      <c r="I510" s="684">
        <f t="shared" si="78"/>
        <v>1397.8</v>
      </c>
      <c r="J510" s="684">
        <f t="shared" si="78"/>
        <v>70850.281</v>
      </c>
      <c r="K510" s="685">
        <f t="shared" si="78"/>
        <v>0</v>
      </c>
      <c r="L510" s="686"/>
      <c r="M510" s="658"/>
    </row>
    <row r="511" spans="1:13" s="353" customFormat="1" ht="27" customHeight="1">
      <c r="A511" s="892"/>
      <c r="B511" s="889"/>
      <c r="C511" s="544"/>
      <c r="D511" s="542"/>
      <c r="E511" s="355">
        <f>F511+G511+J511+K511</f>
        <v>15836.258999999998</v>
      </c>
      <c r="F511" s="356">
        <v>13152.139</v>
      </c>
      <c r="G511" s="356">
        <f aca="true" t="shared" si="79" ref="G511:G522">H511+I511</f>
        <v>0</v>
      </c>
      <c r="H511" s="356"/>
      <c r="I511" s="356"/>
      <c r="J511" s="356">
        <v>2684.12</v>
      </c>
      <c r="K511" s="356">
        <v>0</v>
      </c>
      <c r="L511" s="557" t="s">
        <v>292</v>
      </c>
      <c r="M511" s="658"/>
    </row>
    <row r="512" spans="1:13" s="353" customFormat="1" ht="27" customHeight="1">
      <c r="A512" s="892"/>
      <c r="B512" s="889"/>
      <c r="C512" s="544"/>
      <c r="D512" s="542"/>
      <c r="E512" s="355">
        <f aca="true" t="shared" si="80" ref="E512:E522">F512+G512+J512+K512</f>
        <v>6561.047</v>
      </c>
      <c r="F512" s="356"/>
      <c r="G512" s="356">
        <f t="shared" si="79"/>
        <v>0</v>
      </c>
      <c r="H512" s="356"/>
      <c r="I512" s="356"/>
      <c r="J512" s="356">
        <v>6561.047</v>
      </c>
      <c r="K512" s="356"/>
      <c r="L512" s="557" t="s">
        <v>293</v>
      </c>
      <c r="M512" s="658"/>
    </row>
    <row r="513" spans="1:13" s="353" customFormat="1" ht="27" customHeight="1">
      <c r="A513" s="892"/>
      <c r="B513" s="889"/>
      <c r="C513" s="544"/>
      <c r="D513" s="542"/>
      <c r="E513" s="355">
        <f t="shared" si="80"/>
        <v>37242.082</v>
      </c>
      <c r="F513" s="360">
        <v>31670.658</v>
      </c>
      <c r="G513" s="356">
        <f t="shared" si="79"/>
        <v>0</v>
      </c>
      <c r="H513" s="360"/>
      <c r="I513" s="360"/>
      <c r="J513" s="360">
        <v>5571.424</v>
      </c>
      <c r="K513" s="360">
        <v>0</v>
      </c>
      <c r="L513" s="557" t="s">
        <v>294</v>
      </c>
      <c r="M513" s="658"/>
    </row>
    <row r="514" spans="1:13" s="353" customFormat="1" ht="27" customHeight="1">
      <c r="A514" s="892"/>
      <c r="B514" s="889"/>
      <c r="C514" s="544"/>
      <c r="D514" s="542"/>
      <c r="E514" s="355">
        <f t="shared" si="80"/>
        <v>13855.971</v>
      </c>
      <c r="F514" s="360"/>
      <c r="G514" s="356">
        <f t="shared" si="79"/>
        <v>0</v>
      </c>
      <c r="H514" s="360"/>
      <c r="I514" s="360"/>
      <c r="J514" s="360">
        <v>13855.971</v>
      </c>
      <c r="K514" s="360"/>
      <c r="L514" s="557" t="s">
        <v>295</v>
      </c>
      <c r="M514" s="658"/>
    </row>
    <row r="515" spans="1:13" s="353" customFormat="1" ht="27" customHeight="1">
      <c r="A515" s="892"/>
      <c r="B515" s="889"/>
      <c r="C515" s="544"/>
      <c r="D515" s="542"/>
      <c r="E515" s="355">
        <f t="shared" si="80"/>
        <v>20224.777</v>
      </c>
      <c r="F515" s="360">
        <v>14002.122</v>
      </c>
      <c r="G515" s="356">
        <f t="shared" si="79"/>
        <v>0</v>
      </c>
      <c r="H515" s="360"/>
      <c r="I515" s="360"/>
      <c r="J515" s="360">
        <v>6222.655</v>
      </c>
      <c r="K515" s="360">
        <v>0</v>
      </c>
      <c r="L515" s="557" t="s">
        <v>296</v>
      </c>
      <c r="M515" s="658"/>
    </row>
    <row r="516" spans="1:13" s="353" customFormat="1" ht="27" customHeight="1">
      <c r="A516" s="892"/>
      <c r="B516" s="889"/>
      <c r="C516" s="544"/>
      <c r="D516" s="542"/>
      <c r="E516" s="355">
        <f t="shared" si="80"/>
        <v>6845.526</v>
      </c>
      <c r="F516" s="360"/>
      <c r="G516" s="356">
        <f t="shared" si="79"/>
        <v>0</v>
      </c>
      <c r="H516" s="360"/>
      <c r="I516" s="360"/>
      <c r="J516" s="360">
        <v>6845.526</v>
      </c>
      <c r="K516" s="360"/>
      <c r="L516" s="557" t="s">
        <v>297</v>
      </c>
      <c r="M516" s="658"/>
    </row>
    <row r="517" spans="1:13" s="353" customFormat="1" ht="27" customHeight="1">
      <c r="A517" s="892"/>
      <c r="B517" s="889"/>
      <c r="C517" s="544"/>
      <c r="D517" s="542"/>
      <c r="E517" s="359">
        <f t="shared" si="80"/>
        <v>50647.047</v>
      </c>
      <c r="F517" s="360">
        <v>44639.651</v>
      </c>
      <c r="G517" s="360">
        <f t="shared" si="79"/>
        <v>0</v>
      </c>
      <c r="H517" s="360"/>
      <c r="I517" s="360"/>
      <c r="J517" s="360">
        <v>6007.396</v>
      </c>
      <c r="K517" s="360">
        <v>0</v>
      </c>
      <c r="L517" s="558" t="s">
        <v>94</v>
      </c>
      <c r="M517" s="658"/>
    </row>
    <row r="518" spans="1:13" s="353" customFormat="1" ht="27" customHeight="1">
      <c r="A518" s="892"/>
      <c r="B518" s="889"/>
      <c r="C518" s="544"/>
      <c r="D518" s="542"/>
      <c r="E518" s="359">
        <f t="shared" si="80"/>
        <v>52493.57</v>
      </c>
      <c r="F518" s="360">
        <v>45700.63</v>
      </c>
      <c r="G518" s="360">
        <f t="shared" si="79"/>
        <v>0</v>
      </c>
      <c r="H518" s="360"/>
      <c r="I518" s="360"/>
      <c r="J518" s="360">
        <v>6792.94</v>
      </c>
      <c r="K518" s="360">
        <v>0</v>
      </c>
      <c r="L518" s="558" t="s">
        <v>96</v>
      </c>
      <c r="M518" s="658"/>
    </row>
    <row r="519" spans="1:13" s="353" customFormat="1" ht="27" customHeight="1">
      <c r="A519" s="892"/>
      <c r="B519" s="889"/>
      <c r="C519" s="544"/>
      <c r="D519" s="542"/>
      <c r="E519" s="359">
        <f t="shared" si="80"/>
        <v>4762.781</v>
      </c>
      <c r="F519" s="360">
        <v>0</v>
      </c>
      <c r="G519" s="360">
        <f t="shared" si="79"/>
        <v>0</v>
      </c>
      <c r="H519" s="360"/>
      <c r="I519" s="360"/>
      <c r="J519" s="360">
        <f>5183.184-420.403</f>
        <v>4762.781</v>
      </c>
      <c r="K519" s="360">
        <v>0</v>
      </c>
      <c r="L519" s="558" t="s">
        <v>301</v>
      </c>
      <c r="M519" s="658"/>
    </row>
    <row r="520" spans="1:13" s="353" customFormat="1" ht="27" customHeight="1">
      <c r="A520" s="892"/>
      <c r="B520" s="889"/>
      <c r="C520" s="544"/>
      <c r="D520" s="542"/>
      <c r="E520" s="359">
        <f t="shared" si="80"/>
        <v>5541.096</v>
      </c>
      <c r="F520" s="360">
        <v>0</v>
      </c>
      <c r="G520" s="360">
        <f t="shared" si="79"/>
        <v>0</v>
      </c>
      <c r="H520" s="360"/>
      <c r="I520" s="360"/>
      <c r="J520" s="360">
        <f>6030.2-489.104</f>
        <v>5541.096</v>
      </c>
      <c r="K520" s="360">
        <v>0</v>
      </c>
      <c r="L520" s="558" t="s">
        <v>284</v>
      </c>
      <c r="M520" s="658"/>
    </row>
    <row r="521" spans="1:13" s="353" customFormat="1" ht="27" customHeight="1" thickBot="1">
      <c r="A521" s="893"/>
      <c r="B521" s="890"/>
      <c r="C521" s="572"/>
      <c r="D521" s="573"/>
      <c r="E521" s="687">
        <f t="shared" si="80"/>
        <v>208.87</v>
      </c>
      <c r="F521" s="563">
        <v>0</v>
      </c>
      <c r="G521" s="563">
        <f t="shared" si="79"/>
        <v>0</v>
      </c>
      <c r="H521" s="563"/>
      <c r="I521" s="563"/>
      <c r="J521" s="563">
        <v>208.87</v>
      </c>
      <c r="K521" s="563">
        <v>0</v>
      </c>
      <c r="L521" s="565" t="s">
        <v>302</v>
      </c>
      <c r="M521" s="658"/>
    </row>
    <row r="522" spans="1:13" s="353" customFormat="1" ht="27" customHeight="1" thickBot="1">
      <c r="A522" s="677"/>
      <c r="B522" s="678"/>
      <c r="C522" s="679"/>
      <c r="D522" s="680"/>
      <c r="E522" s="681">
        <f t="shared" si="80"/>
        <v>7194.255</v>
      </c>
      <c r="F522" s="682">
        <v>0</v>
      </c>
      <c r="G522" s="682">
        <f t="shared" si="79"/>
        <v>1397.8</v>
      </c>
      <c r="H522" s="682"/>
      <c r="I522" s="682">
        <v>1397.8</v>
      </c>
      <c r="J522" s="682">
        <f>6308.098-511.643</f>
        <v>5796.455</v>
      </c>
      <c r="K522" s="682">
        <v>0</v>
      </c>
      <c r="L522" s="683" t="s">
        <v>291</v>
      </c>
      <c r="M522" s="658"/>
    </row>
    <row r="523" spans="1:13" s="371" customFormat="1" ht="27" customHeight="1" thickBot="1">
      <c r="A523" s="827" t="s">
        <v>303</v>
      </c>
      <c r="B523" s="815" t="s">
        <v>304</v>
      </c>
      <c r="C523" s="570"/>
      <c r="D523" s="594">
        <v>2020</v>
      </c>
      <c r="E523" s="595">
        <f aca="true" t="shared" si="81" ref="E523:K523">E524+E525</f>
        <v>1979.1</v>
      </c>
      <c r="F523" s="596">
        <f t="shared" si="81"/>
        <v>0</v>
      </c>
      <c r="G523" s="596">
        <f t="shared" si="81"/>
        <v>1979.1</v>
      </c>
      <c r="H523" s="596">
        <f t="shared" si="81"/>
        <v>1979.1</v>
      </c>
      <c r="I523" s="596">
        <f t="shared" si="81"/>
        <v>0</v>
      </c>
      <c r="J523" s="596">
        <f t="shared" si="81"/>
        <v>0</v>
      </c>
      <c r="K523" s="597">
        <f t="shared" si="81"/>
        <v>0</v>
      </c>
      <c r="L523" s="598"/>
      <c r="M523" s="828"/>
    </row>
    <row r="524" spans="1:13" s="353" customFormat="1" ht="27" customHeight="1" thickBot="1">
      <c r="A524" s="827"/>
      <c r="B524" s="816"/>
      <c r="C524" s="534"/>
      <c r="D524" s="372" t="s">
        <v>145</v>
      </c>
      <c r="E524" s="356">
        <f aca="true" t="shared" si="82" ref="E524:E533">F524+G524+J524</f>
        <v>925.294</v>
      </c>
      <c r="F524" s="356">
        <v>0</v>
      </c>
      <c r="G524" s="356">
        <f aca="true" t="shared" si="83" ref="G524:G533">H524+I524</f>
        <v>925.294</v>
      </c>
      <c r="H524" s="356">
        <f>925.3-0.006</f>
        <v>925.294</v>
      </c>
      <c r="I524" s="356">
        <v>0</v>
      </c>
      <c r="J524" s="356">
        <v>0</v>
      </c>
      <c r="K524" s="356">
        <v>0</v>
      </c>
      <c r="L524" s="373" t="s">
        <v>145</v>
      </c>
      <c r="M524" s="829"/>
    </row>
    <row r="525" spans="1:13" s="353" customFormat="1" ht="27" customHeight="1" thickBot="1">
      <c r="A525" s="827"/>
      <c r="B525" s="816"/>
      <c r="C525" s="534"/>
      <c r="D525" s="374" t="s">
        <v>149</v>
      </c>
      <c r="E525" s="364">
        <f t="shared" si="82"/>
        <v>1053.806</v>
      </c>
      <c r="F525" s="364">
        <v>0</v>
      </c>
      <c r="G525" s="364">
        <f t="shared" si="83"/>
        <v>1053.806</v>
      </c>
      <c r="H525" s="364">
        <f>1053.8+0.006</f>
        <v>1053.806</v>
      </c>
      <c r="I525" s="364">
        <v>0</v>
      </c>
      <c r="J525" s="364">
        <v>0</v>
      </c>
      <c r="K525" s="364">
        <v>0</v>
      </c>
      <c r="L525" s="375" t="s">
        <v>149</v>
      </c>
      <c r="M525" s="829"/>
    </row>
    <row r="526" spans="1:13" s="353" customFormat="1" ht="27" customHeight="1" thickBot="1">
      <c r="A526" s="827"/>
      <c r="B526" s="816"/>
      <c r="C526" s="535"/>
      <c r="D526" s="350">
        <v>2021</v>
      </c>
      <c r="E526" s="351">
        <f t="shared" si="82"/>
        <v>5937</v>
      </c>
      <c r="F526" s="351">
        <f>F527+F528</f>
        <v>0</v>
      </c>
      <c r="G526" s="351">
        <f t="shared" si="83"/>
        <v>5937</v>
      </c>
      <c r="H526" s="351">
        <f>H527+H528</f>
        <v>5937</v>
      </c>
      <c r="I526" s="351">
        <f>I527+I528</f>
        <v>0</v>
      </c>
      <c r="J526" s="351">
        <f>J527+J528</f>
        <v>0</v>
      </c>
      <c r="K526" s="370">
        <f>K527+K528</f>
        <v>0</v>
      </c>
      <c r="L526" s="376"/>
      <c r="M526" s="829"/>
    </row>
    <row r="527" spans="1:13" s="353" customFormat="1" ht="27" customHeight="1" thickBot="1">
      <c r="A527" s="827"/>
      <c r="B527" s="816"/>
      <c r="C527" s="536"/>
      <c r="D527" s="372" t="s">
        <v>145</v>
      </c>
      <c r="E527" s="356">
        <f t="shared" si="82"/>
        <v>2775.74</v>
      </c>
      <c r="F527" s="356"/>
      <c r="G527" s="356">
        <f t="shared" si="83"/>
        <v>2775.74</v>
      </c>
      <c r="H527" s="356">
        <v>2775.74</v>
      </c>
      <c r="I527" s="356"/>
      <c r="J527" s="356"/>
      <c r="K527" s="356"/>
      <c r="L527" s="377" t="s">
        <v>145</v>
      </c>
      <c r="M527" s="829"/>
    </row>
    <row r="528" spans="1:13" s="353" customFormat="1" ht="27" customHeight="1" thickBot="1">
      <c r="A528" s="827"/>
      <c r="B528" s="816"/>
      <c r="C528" s="536"/>
      <c r="D528" s="374" t="s">
        <v>149</v>
      </c>
      <c r="E528" s="364">
        <f t="shared" si="82"/>
        <v>3161.26</v>
      </c>
      <c r="F528" s="364"/>
      <c r="G528" s="364">
        <f t="shared" si="83"/>
        <v>3161.26</v>
      </c>
      <c r="H528" s="364">
        <v>3161.26</v>
      </c>
      <c r="I528" s="364"/>
      <c r="J528" s="364"/>
      <c r="K528" s="364"/>
      <c r="L528" s="377" t="s">
        <v>149</v>
      </c>
      <c r="M528" s="829"/>
    </row>
    <row r="529" spans="1:13" s="353" customFormat="1" ht="27" customHeight="1" thickBot="1">
      <c r="A529" s="827"/>
      <c r="B529" s="816"/>
      <c r="C529" s="536"/>
      <c r="D529" s="350">
        <v>2022</v>
      </c>
      <c r="E529" s="351">
        <f t="shared" si="82"/>
        <v>5937</v>
      </c>
      <c r="F529" s="351">
        <f>F530+F531</f>
        <v>0</v>
      </c>
      <c r="G529" s="351">
        <f t="shared" si="83"/>
        <v>5937</v>
      </c>
      <c r="H529" s="351">
        <f>H530+H531</f>
        <v>5937</v>
      </c>
      <c r="I529" s="351">
        <f>I530+I531</f>
        <v>0</v>
      </c>
      <c r="J529" s="351">
        <f>J530+J531</f>
        <v>0</v>
      </c>
      <c r="K529" s="370">
        <f>K530+K531</f>
        <v>0</v>
      </c>
      <c r="L529" s="376"/>
      <c r="M529" s="829"/>
    </row>
    <row r="530" spans="1:13" s="353" customFormat="1" ht="25.5" customHeight="1" thickBot="1">
      <c r="A530" s="827"/>
      <c r="B530" s="816"/>
      <c r="C530" s="536"/>
      <c r="D530" s="372" t="s">
        <v>145</v>
      </c>
      <c r="E530" s="356">
        <f t="shared" si="82"/>
        <v>2775.74</v>
      </c>
      <c r="F530" s="356"/>
      <c r="G530" s="356">
        <f t="shared" si="83"/>
        <v>2775.74</v>
      </c>
      <c r="H530" s="356">
        <v>2775.74</v>
      </c>
      <c r="I530" s="356"/>
      <c r="J530" s="356"/>
      <c r="K530" s="356"/>
      <c r="L530" s="377" t="s">
        <v>145</v>
      </c>
      <c r="M530" s="829"/>
    </row>
    <row r="531" spans="1:13" s="353" customFormat="1" ht="27.75" customHeight="1" thickBot="1">
      <c r="A531" s="827"/>
      <c r="B531" s="816"/>
      <c r="C531" s="536"/>
      <c r="D531" s="374" t="s">
        <v>149</v>
      </c>
      <c r="E531" s="364">
        <f t="shared" si="82"/>
        <v>3161.26</v>
      </c>
      <c r="F531" s="364"/>
      <c r="G531" s="364">
        <f t="shared" si="83"/>
        <v>3161.26</v>
      </c>
      <c r="H531" s="364">
        <v>3161.26</v>
      </c>
      <c r="I531" s="364"/>
      <c r="J531" s="364"/>
      <c r="K531" s="364"/>
      <c r="L531" s="378" t="s">
        <v>149</v>
      </c>
      <c r="M531" s="829"/>
    </row>
    <row r="532" spans="1:13" s="353" customFormat="1" ht="27.75" customHeight="1" thickBot="1">
      <c r="A532" s="827"/>
      <c r="B532" s="816"/>
      <c r="C532" s="536"/>
      <c r="D532" s="350">
        <v>2023</v>
      </c>
      <c r="E532" s="351">
        <f t="shared" si="82"/>
        <v>5937</v>
      </c>
      <c r="F532" s="351"/>
      <c r="G532" s="351">
        <f t="shared" si="83"/>
        <v>5937</v>
      </c>
      <c r="H532" s="351">
        <f>H533+H534</f>
        <v>5937</v>
      </c>
      <c r="I532" s="351">
        <f>I533+I534</f>
        <v>0</v>
      </c>
      <c r="J532" s="351">
        <f>J533+J534</f>
        <v>0</v>
      </c>
      <c r="K532" s="351">
        <f>K533+K534</f>
        <v>0</v>
      </c>
      <c r="L532" s="379"/>
      <c r="M532" s="829"/>
    </row>
    <row r="533" spans="1:13" s="353" customFormat="1" ht="27" customHeight="1" thickBot="1">
      <c r="A533" s="827"/>
      <c r="B533" s="816"/>
      <c r="C533" s="578"/>
      <c r="D533" s="579" t="s">
        <v>145</v>
      </c>
      <c r="E533" s="543">
        <f t="shared" si="82"/>
        <v>2775.74</v>
      </c>
      <c r="F533" s="543"/>
      <c r="G533" s="543">
        <f t="shared" si="83"/>
        <v>2775.74</v>
      </c>
      <c r="H533" s="543">
        <v>2775.74</v>
      </c>
      <c r="I533" s="543"/>
      <c r="J533" s="543"/>
      <c r="K533" s="543"/>
      <c r="L533" s="580" t="s">
        <v>145</v>
      </c>
      <c r="M533" s="829"/>
    </row>
    <row r="534" spans="1:13" s="353" customFormat="1" ht="27" customHeight="1" thickBot="1">
      <c r="A534" s="827"/>
      <c r="B534" s="817"/>
      <c r="C534" s="534"/>
      <c r="D534" s="581" t="s">
        <v>149</v>
      </c>
      <c r="E534" s="584">
        <f>F534+G534+J534</f>
        <v>3161.26</v>
      </c>
      <c r="F534" s="584"/>
      <c r="G534" s="584">
        <f>H534+I534</f>
        <v>3161.26</v>
      </c>
      <c r="H534" s="584">
        <v>3161.26</v>
      </c>
      <c r="I534" s="584"/>
      <c r="J534" s="584"/>
      <c r="K534" s="584"/>
      <c r="L534" s="585" t="s">
        <v>149</v>
      </c>
      <c r="M534" s="829"/>
    </row>
    <row r="535" spans="1:13" s="353" customFormat="1" ht="27" customHeight="1" thickBot="1">
      <c r="A535" s="827"/>
      <c r="B535" s="817"/>
      <c r="C535" s="582"/>
      <c r="D535" s="541">
        <v>2024</v>
      </c>
      <c r="E535" s="586">
        <f>F535+G535+J535</f>
        <v>5937</v>
      </c>
      <c r="F535" s="587"/>
      <c r="G535" s="587">
        <f>H535+I535</f>
        <v>5937</v>
      </c>
      <c r="H535" s="587">
        <f>H536+H537</f>
        <v>5937</v>
      </c>
      <c r="I535" s="587">
        <f>I536+I537</f>
        <v>0</v>
      </c>
      <c r="J535" s="587">
        <f>J536+J537</f>
        <v>0</v>
      </c>
      <c r="K535" s="587">
        <f>K536+K537</f>
        <v>0</v>
      </c>
      <c r="L535" s="588"/>
      <c r="M535" s="829"/>
    </row>
    <row r="536" spans="1:13" s="353" customFormat="1" ht="27" customHeight="1" thickBot="1">
      <c r="A536" s="827"/>
      <c r="B536" s="817"/>
      <c r="C536" s="589"/>
      <c r="D536" s="590" t="s">
        <v>145</v>
      </c>
      <c r="E536" s="591">
        <f>F536+G536+J536</f>
        <v>2775.74</v>
      </c>
      <c r="F536" s="592"/>
      <c r="G536" s="543">
        <f>H536+I536</f>
        <v>2775.74</v>
      </c>
      <c r="H536" s="543">
        <v>2775.74</v>
      </c>
      <c r="I536" s="592"/>
      <c r="J536" s="592"/>
      <c r="K536" s="592"/>
      <c r="L536" s="593" t="s">
        <v>145</v>
      </c>
      <c r="M536" s="829"/>
    </row>
    <row r="537" spans="1:13" s="35" customFormat="1" ht="27.75" customHeight="1" thickBot="1">
      <c r="A537" s="827"/>
      <c r="B537" s="817"/>
      <c r="C537" s="688"/>
      <c r="D537" s="689" t="s">
        <v>149</v>
      </c>
      <c r="E537" s="690">
        <f>F537+G537+J537</f>
        <v>3161.26</v>
      </c>
      <c r="F537" s="691"/>
      <c r="G537" s="691">
        <f>H537+I537</f>
        <v>3161.26</v>
      </c>
      <c r="H537" s="691">
        <v>3161.26</v>
      </c>
      <c r="I537" s="691"/>
      <c r="J537" s="691"/>
      <c r="K537" s="691"/>
      <c r="L537" s="692" t="s">
        <v>149</v>
      </c>
      <c r="M537" s="829"/>
    </row>
    <row r="538" spans="1:13" s="35" customFormat="1" ht="27" customHeight="1" thickBot="1">
      <c r="A538" s="810"/>
      <c r="B538" s="830" t="s">
        <v>305</v>
      </c>
      <c r="C538" s="693"/>
      <c r="D538" s="694">
        <v>2017</v>
      </c>
      <c r="E538" s="695">
        <f aca="true" t="shared" si="84" ref="E538:J538">E426+E435</f>
        <v>216780.416</v>
      </c>
      <c r="F538" s="695">
        <f t="shared" si="84"/>
        <v>124615.2</v>
      </c>
      <c r="G538" s="695">
        <f t="shared" si="84"/>
        <v>727</v>
      </c>
      <c r="H538" s="695">
        <f t="shared" si="84"/>
        <v>0</v>
      </c>
      <c r="I538" s="695">
        <f t="shared" si="84"/>
        <v>727</v>
      </c>
      <c r="J538" s="695">
        <f t="shared" si="84"/>
        <v>91438.216</v>
      </c>
      <c r="K538" s="695">
        <f>K435+K426+K415+K347+K346+K345+K344+K343+K342+K341+K246+K245</f>
        <v>0</v>
      </c>
      <c r="L538" s="811"/>
      <c r="M538" s="814"/>
    </row>
    <row r="539" spans="1:13" s="35" customFormat="1" ht="27" customHeight="1" thickBot="1">
      <c r="A539" s="810"/>
      <c r="B539" s="831"/>
      <c r="C539" s="524"/>
      <c r="D539" s="527">
        <v>2018</v>
      </c>
      <c r="E539" s="520">
        <f aca="true" t="shared" si="85" ref="E539:J539">E445+E437</f>
        <v>209116.99978</v>
      </c>
      <c r="F539" s="520">
        <f t="shared" si="85"/>
        <v>137344.5</v>
      </c>
      <c r="G539" s="520">
        <f t="shared" si="85"/>
        <v>1006.9820000000001</v>
      </c>
      <c r="H539" s="520">
        <f t="shared" si="85"/>
        <v>0</v>
      </c>
      <c r="I539" s="520">
        <f t="shared" si="85"/>
        <v>1006.9820000000001</v>
      </c>
      <c r="J539" s="520">
        <f t="shared" si="85"/>
        <v>70765.51778000001</v>
      </c>
      <c r="K539" s="521">
        <f>K437</f>
        <v>0</v>
      </c>
      <c r="L539" s="812"/>
      <c r="M539" s="814"/>
    </row>
    <row r="540" spans="1:13" s="35" customFormat="1" ht="27" customHeight="1" thickBot="1">
      <c r="A540" s="810"/>
      <c r="B540" s="831"/>
      <c r="C540" s="525"/>
      <c r="D540" s="528">
        <v>2019</v>
      </c>
      <c r="E540" s="126">
        <f aca="true" t="shared" si="86" ref="E540:K540">E451</f>
        <v>229770.53044</v>
      </c>
      <c r="F540" s="126">
        <f t="shared" si="86"/>
        <v>150533.8</v>
      </c>
      <c r="G540" s="126">
        <f t="shared" si="86"/>
        <v>1276.052</v>
      </c>
      <c r="H540" s="126">
        <f t="shared" si="86"/>
        <v>0</v>
      </c>
      <c r="I540" s="126">
        <f t="shared" si="86"/>
        <v>1276.052</v>
      </c>
      <c r="J540" s="126">
        <f t="shared" si="86"/>
        <v>77960.67844000002</v>
      </c>
      <c r="K540" s="522">
        <f t="shared" si="86"/>
        <v>0</v>
      </c>
      <c r="L540" s="812"/>
      <c r="M540" s="814"/>
    </row>
    <row r="541" spans="1:13" s="35" customFormat="1" ht="27" customHeight="1" thickBot="1">
      <c r="A541" s="810"/>
      <c r="B541" s="831"/>
      <c r="C541" s="525"/>
      <c r="D541" s="528">
        <v>2020</v>
      </c>
      <c r="E541" s="126">
        <f aca="true" t="shared" si="87" ref="E541:K541">E461+E523</f>
        <v>237581.17301</v>
      </c>
      <c r="F541" s="126">
        <f t="shared" si="87"/>
        <v>151107</v>
      </c>
      <c r="G541" s="126">
        <f t="shared" si="87"/>
        <v>3250.1</v>
      </c>
      <c r="H541" s="126">
        <f t="shared" si="87"/>
        <v>1979.1</v>
      </c>
      <c r="I541" s="126">
        <f t="shared" si="87"/>
        <v>1271</v>
      </c>
      <c r="J541" s="126">
        <f t="shared" si="87"/>
        <v>83224.07301000001</v>
      </c>
      <c r="K541" s="522">
        <f t="shared" si="87"/>
        <v>0</v>
      </c>
      <c r="L541" s="812"/>
      <c r="M541" s="814"/>
    </row>
    <row r="542" spans="1:13" s="35" customFormat="1" ht="27" customHeight="1" thickBot="1">
      <c r="A542" s="810"/>
      <c r="B542" s="831"/>
      <c r="C542" s="525"/>
      <c r="D542" s="528">
        <v>2021</v>
      </c>
      <c r="E542" s="126">
        <f aca="true" t="shared" si="88" ref="E542:K542">E526+E471</f>
        <v>237062.05686999997</v>
      </c>
      <c r="F542" s="126">
        <f t="shared" si="88"/>
        <v>150227</v>
      </c>
      <c r="G542" s="126">
        <f t="shared" si="88"/>
        <v>7334.8</v>
      </c>
      <c r="H542" s="126">
        <f t="shared" si="88"/>
        <v>5937</v>
      </c>
      <c r="I542" s="126">
        <f t="shared" si="88"/>
        <v>1397.8</v>
      </c>
      <c r="J542" s="126">
        <f t="shared" si="88"/>
        <v>79500.25687</v>
      </c>
      <c r="K542" s="522">
        <f t="shared" si="88"/>
        <v>0</v>
      </c>
      <c r="L542" s="812"/>
      <c r="M542" s="814"/>
    </row>
    <row r="543" spans="1:13" s="35" customFormat="1" ht="27" customHeight="1" thickBot="1">
      <c r="A543" s="810"/>
      <c r="B543" s="831"/>
      <c r="C543" s="525"/>
      <c r="D543" s="528">
        <v>2022</v>
      </c>
      <c r="E543" s="126">
        <f>E529+E484</f>
        <v>246270.54971350002</v>
      </c>
      <c r="F543" s="126">
        <f aca="true" t="shared" si="89" ref="F543:K543">F529+F484</f>
        <v>149095.8</v>
      </c>
      <c r="G543" s="126">
        <f t="shared" si="89"/>
        <v>7334.8</v>
      </c>
      <c r="H543" s="126">
        <f t="shared" si="89"/>
        <v>5937</v>
      </c>
      <c r="I543" s="126">
        <f t="shared" si="89"/>
        <v>1397.8</v>
      </c>
      <c r="J543" s="126">
        <f t="shared" si="89"/>
        <v>89839.9497135</v>
      </c>
      <c r="K543" s="522">
        <f t="shared" si="89"/>
        <v>0</v>
      </c>
      <c r="L543" s="812"/>
      <c r="M543" s="814"/>
    </row>
    <row r="544" spans="1:13" s="35" customFormat="1" ht="27" customHeight="1" thickBot="1">
      <c r="A544" s="810"/>
      <c r="B544" s="831"/>
      <c r="C544" s="525"/>
      <c r="D544" s="529">
        <v>2023</v>
      </c>
      <c r="E544" s="130">
        <f aca="true" t="shared" si="90" ref="E544:K544">E532+E497</f>
        <v>227350.28099999996</v>
      </c>
      <c r="F544" s="130">
        <f t="shared" si="90"/>
        <v>149165.19999999998</v>
      </c>
      <c r="G544" s="130">
        <f t="shared" si="90"/>
        <v>7334.8</v>
      </c>
      <c r="H544" s="130">
        <f t="shared" si="90"/>
        <v>5937</v>
      </c>
      <c r="I544" s="130">
        <f t="shared" si="90"/>
        <v>1397.8</v>
      </c>
      <c r="J544" s="130">
        <f t="shared" si="90"/>
        <v>70850.281</v>
      </c>
      <c r="K544" s="523">
        <f t="shared" si="90"/>
        <v>0</v>
      </c>
      <c r="L544" s="812"/>
      <c r="M544" s="814"/>
    </row>
    <row r="545" spans="1:13" s="35" customFormat="1" ht="27" customHeight="1" thickBot="1">
      <c r="A545" s="810"/>
      <c r="B545" s="832"/>
      <c r="C545" s="526"/>
      <c r="D545" s="530">
        <v>2024</v>
      </c>
      <c r="E545" s="531">
        <f>E535+E510</f>
        <v>227350.28099999996</v>
      </c>
      <c r="F545" s="531">
        <f>F535+F510</f>
        <v>149165.19999999998</v>
      </c>
      <c r="G545" s="531">
        <f>G535+G510</f>
        <v>7334.8</v>
      </c>
      <c r="H545" s="531">
        <f>H535+H510</f>
        <v>5937</v>
      </c>
      <c r="I545" s="531">
        <f>I535+I510</f>
        <v>1397.8</v>
      </c>
      <c r="J545" s="531">
        <f>J535+J510</f>
        <v>70850.281</v>
      </c>
      <c r="K545" s="532">
        <f>K533+K498</f>
        <v>0</v>
      </c>
      <c r="L545" s="813"/>
      <c r="M545" s="814"/>
    </row>
    <row r="546" spans="1:13" s="35" customFormat="1" ht="27" customHeight="1" thickBot="1">
      <c r="A546" s="833" t="s">
        <v>306</v>
      </c>
      <c r="B546" s="834"/>
      <c r="C546" s="834"/>
      <c r="D546" s="834"/>
      <c r="E546" s="834"/>
      <c r="F546" s="834"/>
      <c r="G546" s="834"/>
      <c r="H546" s="834"/>
      <c r="I546" s="834"/>
      <c r="J546" s="835"/>
      <c r="K546" s="424"/>
      <c r="L546" s="424"/>
      <c r="M546" s="659"/>
    </row>
    <row r="547" spans="1:13" s="35" customFormat="1" ht="27" customHeight="1" thickBot="1">
      <c r="A547" s="660" t="s">
        <v>307</v>
      </c>
      <c r="B547" s="425"/>
      <c r="C547" s="426"/>
      <c r="D547" s="426"/>
      <c r="E547" s="426"/>
      <c r="F547" s="426"/>
      <c r="G547" s="426"/>
      <c r="H547" s="426"/>
      <c r="I547" s="426"/>
      <c r="J547" s="426"/>
      <c r="K547" s="426"/>
      <c r="L547" s="427"/>
      <c r="M547" s="627"/>
    </row>
    <row r="548" spans="1:13" s="35" customFormat="1" ht="29.25" customHeight="1" thickBot="1">
      <c r="A548" s="661" t="s">
        <v>308</v>
      </c>
      <c r="B548" s="457"/>
      <c r="C548" s="428"/>
      <c r="D548" s="428"/>
      <c r="E548" s="428"/>
      <c r="F548" s="428"/>
      <c r="G548" s="428"/>
      <c r="H548" s="428"/>
      <c r="I548" s="428"/>
      <c r="J548" s="428"/>
      <c r="K548" s="428"/>
      <c r="L548" s="428"/>
      <c r="M548" s="662"/>
    </row>
    <row r="549" spans="1:13" s="35" customFormat="1" ht="24.75" customHeight="1" thickBot="1">
      <c r="A549" s="838" t="s">
        <v>309</v>
      </c>
      <c r="B549" s="799" t="s">
        <v>310</v>
      </c>
      <c r="C549" s="429"/>
      <c r="D549" s="422">
        <v>2017</v>
      </c>
      <c r="E549" s="51">
        <f aca="true" t="shared" si="91" ref="E549:E556">F549+G549+J549+K549</f>
        <v>7260.311</v>
      </c>
      <c r="F549" s="50"/>
      <c r="G549" s="50">
        <f aca="true" t="shared" si="92" ref="G549:G556">H549+I549</f>
        <v>0</v>
      </c>
      <c r="H549" s="51">
        <v>0</v>
      </c>
      <c r="I549" s="51">
        <v>0</v>
      </c>
      <c r="J549" s="51">
        <v>7260.311</v>
      </c>
      <c r="K549" s="50">
        <v>0</v>
      </c>
      <c r="L549" s="430" t="s">
        <v>311</v>
      </c>
      <c r="M549" s="820" t="s">
        <v>312</v>
      </c>
    </row>
    <row r="550" spans="1:13" s="35" customFormat="1" ht="24.75" customHeight="1" thickBot="1">
      <c r="A550" s="838"/>
      <c r="B550" s="800"/>
      <c r="C550" s="429"/>
      <c r="D550" s="423">
        <v>2018</v>
      </c>
      <c r="E550" s="481">
        <f t="shared" si="91"/>
        <v>8308.2425</v>
      </c>
      <c r="F550" s="482"/>
      <c r="G550" s="482">
        <f t="shared" si="92"/>
        <v>0</v>
      </c>
      <c r="H550" s="481">
        <v>0</v>
      </c>
      <c r="I550" s="481">
        <v>0</v>
      </c>
      <c r="J550" s="481">
        <f>8213.1695+95.073</f>
        <v>8308.2425</v>
      </c>
      <c r="K550" s="482">
        <v>0</v>
      </c>
      <c r="L550" s="431" t="s">
        <v>311</v>
      </c>
      <c r="M550" s="820"/>
    </row>
    <row r="551" spans="1:13" s="35" customFormat="1" ht="24.75" customHeight="1" thickBot="1">
      <c r="A551" s="838"/>
      <c r="B551" s="800"/>
      <c r="C551" s="429"/>
      <c r="D551" s="423">
        <v>2019</v>
      </c>
      <c r="E551" s="481">
        <f t="shared" si="91"/>
        <v>8783.56033</v>
      </c>
      <c r="F551" s="482"/>
      <c r="G551" s="482">
        <f t="shared" si="92"/>
        <v>0</v>
      </c>
      <c r="H551" s="481">
        <v>0</v>
      </c>
      <c r="I551" s="481">
        <v>0</v>
      </c>
      <c r="J551" s="481">
        <f>8729.252+86.622-32.31367</f>
        <v>8783.56033</v>
      </c>
      <c r="K551" s="481">
        <v>0</v>
      </c>
      <c r="L551" s="431" t="s">
        <v>311</v>
      </c>
      <c r="M551" s="820"/>
    </row>
    <row r="552" spans="1:13" s="35" customFormat="1" ht="24.75" customHeight="1" thickBot="1">
      <c r="A552" s="838"/>
      <c r="B552" s="800"/>
      <c r="C552" s="429"/>
      <c r="D552" s="423">
        <v>2020</v>
      </c>
      <c r="E552" s="481">
        <f t="shared" si="91"/>
        <v>9039.217999999999</v>
      </c>
      <c r="F552" s="482"/>
      <c r="G552" s="482">
        <f t="shared" si="92"/>
        <v>0</v>
      </c>
      <c r="H552" s="481">
        <v>0</v>
      </c>
      <c r="I552" s="481">
        <v>0</v>
      </c>
      <c r="J552" s="481">
        <f>8976.345+62.873</f>
        <v>9039.217999999999</v>
      </c>
      <c r="K552" s="482">
        <v>0</v>
      </c>
      <c r="L552" s="431" t="s">
        <v>311</v>
      </c>
      <c r="M552" s="820"/>
    </row>
    <row r="553" spans="1:13" s="35" customFormat="1" ht="24.75" customHeight="1" thickBot="1">
      <c r="A553" s="838"/>
      <c r="B553" s="800"/>
      <c r="C553" s="429"/>
      <c r="D553" s="423">
        <v>2021</v>
      </c>
      <c r="E553" s="481">
        <f t="shared" si="91"/>
        <v>9181.875</v>
      </c>
      <c r="F553" s="482"/>
      <c r="G553" s="482">
        <f t="shared" si="92"/>
        <v>0</v>
      </c>
      <c r="H553" s="481">
        <v>0</v>
      </c>
      <c r="I553" s="481">
        <v>0</v>
      </c>
      <c r="J553" s="481">
        <v>9181.875</v>
      </c>
      <c r="K553" s="482">
        <v>0</v>
      </c>
      <c r="L553" s="431" t="s">
        <v>311</v>
      </c>
      <c r="M553" s="820"/>
    </row>
    <row r="554" spans="1:13" s="35" customFormat="1" ht="24.75" customHeight="1" thickBot="1">
      <c r="A554" s="838"/>
      <c r="B554" s="800"/>
      <c r="C554" s="432"/>
      <c r="D554" s="423">
        <v>2022</v>
      </c>
      <c r="E554" s="481">
        <f t="shared" si="91"/>
        <v>9640.96875</v>
      </c>
      <c r="F554" s="482"/>
      <c r="G554" s="482">
        <f t="shared" si="92"/>
        <v>0</v>
      </c>
      <c r="H554" s="481">
        <v>0</v>
      </c>
      <c r="I554" s="481">
        <v>0</v>
      </c>
      <c r="J554" s="481">
        <f>J553*1.05</f>
        <v>9640.96875</v>
      </c>
      <c r="K554" s="482">
        <v>0</v>
      </c>
      <c r="L554" s="431" t="s">
        <v>311</v>
      </c>
      <c r="M554" s="820"/>
    </row>
    <row r="555" spans="1:13" s="35" customFormat="1" ht="24.75" customHeight="1" thickBot="1">
      <c r="A555" s="839"/>
      <c r="B555" s="800"/>
      <c r="C555" s="432"/>
      <c r="D555" s="433">
        <v>2023</v>
      </c>
      <c r="E555" s="59">
        <f>F555+G555+J555+K555</f>
        <v>8411.952</v>
      </c>
      <c r="F555" s="58"/>
      <c r="G555" s="58">
        <f>H555+I555</f>
        <v>0</v>
      </c>
      <c r="H555" s="59">
        <v>0</v>
      </c>
      <c r="I555" s="59">
        <v>0</v>
      </c>
      <c r="J555" s="59">
        <v>8411.952</v>
      </c>
      <c r="K555" s="58">
        <v>0</v>
      </c>
      <c r="L555" s="434" t="s">
        <v>311</v>
      </c>
      <c r="M555" s="821"/>
    </row>
    <row r="556" spans="1:13" s="35" customFormat="1" ht="24.75" customHeight="1">
      <c r="A556" s="839"/>
      <c r="B556" s="800"/>
      <c r="C556" s="432"/>
      <c r="D556" s="433">
        <v>2024</v>
      </c>
      <c r="E556" s="59">
        <f t="shared" si="91"/>
        <v>8411.952</v>
      </c>
      <c r="F556" s="58"/>
      <c r="G556" s="58">
        <f t="shared" si="92"/>
        <v>0</v>
      </c>
      <c r="H556" s="59">
        <v>0</v>
      </c>
      <c r="I556" s="59">
        <v>0</v>
      </c>
      <c r="J556" s="59">
        <v>8411.952</v>
      </c>
      <c r="K556" s="58">
        <v>0</v>
      </c>
      <c r="L556" s="434" t="s">
        <v>311</v>
      </c>
      <c r="M556" s="821"/>
    </row>
    <row r="557" spans="1:13" s="35" customFormat="1" ht="27" customHeight="1">
      <c r="A557" s="801" t="s">
        <v>313</v>
      </c>
      <c r="B557" s="802"/>
      <c r="C557" s="802"/>
      <c r="D557" s="802"/>
      <c r="E557" s="802"/>
      <c r="F557" s="802"/>
      <c r="G557" s="802"/>
      <c r="H557" s="802"/>
      <c r="I557" s="802"/>
      <c r="J557" s="802"/>
      <c r="K557" s="802"/>
      <c r="L557" s="802"/>
      <c r="M557" s="807"/>
    </row>
    <row r="558" spans="1:13" s="35" customFormat="1" ht="27" customHeight="1">
      <c r="A558" s="836" t="s">
        <v>314</v>
      </c>
      <c r="B558" s="837"/>
      <c r="C558" s="837"/>
      <c r="D558" s="837"/>
      <c r="E558" s="837"/>
      <c r="F558" s="837"/>
      <c r="G558" s="837"/>
      <c r="H558" s="837"/>
      <c r="I558" s="435"/>
      <c r="J558" s="435"/>
      <c r="K558" s="435"/>
      <c r="L558" s="435"/>
      <c r="M558" s="663"/>
    </row>
    <row r="559" spans="1:13" s="35" customFormat="1" ht="27" customHeight="1" thickBot="1">
      <c r="A559" s="805" t="s">
        <v>315</v>
      </c>
      <c r="B559" s="806"/>
      <c r="C559" s="806"/>
      <c r="D559" s="806"/>
      <c r="E559" s="806"/>
      <c r="F559" s="806"/>
      <c r="G559" s="436"/>
      <c r="H559" s="436"/>
      <c r="I559" s="436"/>
      <c r="J559" s="436"/>
      <c r="K559" s="436"/>
      <c r="L559" s="436"/>
      <c r="M559" s="663"/>
    </row>
    <row r="560" spans="1:13" s="35" customFormat="1" ht="24.75" customHeight="1">
      <c r="A560" s="998" t="s">
        <v>316</v>
      </c>
      <c r="B560" s="995" t="s">
        <v>317</v>
      </c>
      <c r="C560" s="700"/>
      <c r="D560" s="704">
        <v>2017</v>
      </c>
      <c r="E560" s="702">
        <f aca="true" t="shared" si="93" ref="E560:E585">F560+G560+J560+K560</f>
        <v>292.4</v>
      </c>
      <c r="F560" s="123">
        <v>292.4</v>
      </c>
      <c r="G560" s="123">
        <f aca="true" t="shared" si="94" ref="G560:G565">H560+I560</f>
        <v>0</v>
      </c>
      <c r="H560" s="123"/>
      <c r="I560" s="123">
        <v>0</v>
      </c>
      <c r="J560" s="123">
        <v>0</v>
      </c>
      <c r="K560" s="123">
        <v>0</v>
      </c>
      <c r="L560" s="708" t="s">
        <v>63</v>
      </c>
      <c r="M560" s="786" t="s">
        <v>318</v>
      </c>
    </row>
    <row r="561" spans="1:13" s="35" customFormat="1" ht="24.75" customHeight="1">
      <c r="A561" s="994"/>
      <c r="B561" s="996"/>
      <c r="C561" s="701"/>
      <c r="D561" s="704">
        <v>2018</v>
      </c>
      <c r="E561" s="703">
        <f t="shared" si="93"/>
        <v>233.2</v>
      </c>
      <c r="F561" s="127">
        <v>233.2</v>
      </c>
      <c r="G561" s="127">
        <f t="shared" si="94"/>
        <v>0</v>
      </c>
      <c r="H561" s="127"/>
      <c r="I561" s="127">
        <v>0</v>
      </c>
      <c r="J561" s="127">
        <v>0</v>
      </c>
      <c r="K561" s="127">
        <v>0</v>
      </c>
      <c r="L561" s="672" t="s">
        <v>63</v>
      </c>
      <c r="M561" s="787"/>
    </row>
    <row r="562" spans="1:13" s="35" customFormat="1" ht="24.75" customHeight="1">
      <c r="A562" s="994"/>
      <c r="B562" s="996"/>
      <c r="C562" s="701"/>
      <c r="D562" s="704">
        <v>2019</v>
      </c>
      <c r="E562" s="703">
        <f t="shared" si="93"/>
        <v>281.9</v>
      </c>
      <c r="F562" s="127">
        <v>281.9</v>
      </c>
      <c r="G562" s="127">
        <f t="shared" si="94"/>
        <v>0</v>
      </c>
      <c r="H562" s="127"/>
      <c r="I562" s="127">
        <v>0</v>
      </c>
      <c r="J562" s="127">
        <v>0</v>
      </c>
      <c r="K562" s="127">
        <v>0</v>
      </c>
      <c r="L562" s="672" t="s">
        <v>63</v>
      </c>
      <c r="M562" s="787"/>
    </row>
    <row r="563" spans="1:13" s="35" customFormat="1" ht="24.75" customHeight="1">
      <c r="A563" s="994"/>
      <c r="B563" s="996"/>
      <c r="C563" s="701"/>
      <c r="D563" s="704">
        <v>2020</v>
      </c>
      <c r="E563" s="703">
        <f t="shared" si="93"/>
        <v>216.2</v>
      </c>
      <c r="F563" s="127">
        <v>216.2</v>
      </c>
      <c r="G563" s="127">
        <f t="shared" si="94"/>
        <v>0</v>
      </c>
      <c r="H563" s="127"/>
      <c r="I563" s="127">
        <v>0</v>
      </c>
      <c r="J563" s="127">
        <v>0</v>
      </c>
      <c r="K563" s="127">
        <v>0</v>
      </c>
      <c r="L563" s="672" t="s">
        <v>63</v>
      </c>
      <c r="M563" s="787"/>
    </row>
    <row r="564" spans="1:13" s="35" customFormat="1" ht="24.75" customHeight="1">
      <c r="A564" s="994"/>
      <c r="B564" s="996"/>
      <c r="C564" s="701"/>
      <c r="D564" s="704">
        <v>2021</v>
      </c>
      <c r="E564" s="703">
        <f t="shared" si="93"/>
        <v>145.4</v>
      </c>
      <c r="F564" s="127">
        <v>145.4</v>
      </c>
      <c r="G564" s="127">
        <f t="shared" si="94"/>
        <v>0</v>
      </c>
      <c r="H564" s="127"/>
      <c r="I564" s="127">
        <v>0</v>
      </c>
      <c r="J564" s="127">
        <v>0</v>
      </c>
      <c r="K564" s="127">
        <v>0</v>
      </c>
      <c r="L564" s="672" t="s">
        <v>63</v>
      </c>
      <c r="M564" s="787"/>
    </row>
    <row r="565" spans="1:13" s="35" customFormat="1" ht="24.75" customHeight="1">
      <c r="A565" s="994"/>
      <c r="B565" s="996"/>
      <c r="C565" s="701"/>
      <c r="D565" s="704">
        <v>2022</v>
      </c>
      <c r="E565" s="703">
        <f t="shared" si="93"/>
        <v>145.4</v>
      </c>
      <c r="F565" s="131">
        <v>145.4</v>
      </c>
      <c r="G565" s="131">
        <f t="shared" si="94"/>
        <v>0</v>
      </c>
      <c r="H565" s="131"/>
      <c r="I565" s="131">
        <v>0</v>
      </c>
      <c r="J565" s="131">
        <v>0</v>
      </c>
      <c r="K565" s="131">
        <v>0</v>
      </c>
      <c r="L565" s="709" t="s">
        <v>63</v>
      </c>
      <c r="M565" s="787"/>
    </row>
    <row r="566" spans="1:13" s="35" customFormat="1" ht="24.75" customHeight="1" thickBot="1">
      <c r="A566" s="994"/>
      <c r="B566" s="996"/>
      <c r="C566" s="701"/>
      <c r="D566" s="704">
        <v>2023</v>
      </c>
      <c r="E566" s="705">
        <f t="shared" si="93"/>
        <v>145.4</v>
      </c>
      <c r="F566" s="706">
        <v>145.4</v>
      </c>
      <c r="G566" s="706">
        <v>0</v>
      </c>
      <c r="H566" s="706">
        <v>0</v>
      </c>
      <c r="I566" s="706">
        <v>0</v>
      </c>
      <c r="J566" s="706">
        <v>0</v>
      </c>
      <c r="K566" s="706">
        <v>0</v>
      </c>
      <c r="L566" s="710"/>
      <c r="M566" s="797"/>
    </row>
    <row r="567" spans="1:13" s="35" customFormat="1" ht="24.75" customHeight="1" thickBot="1">
      <c r="A567" s="999"/>
      <c r="B567" s="997"/>
      <c r="C567" s="701"/>
      <c r="D567" s="704">
        <v>2024</v>
      </c>
      <c r="E567" s="703">
        <f>F567+G567+J567+K567</f>
        <v>145.4</v>
      </c>
      <c r="F567" s="442">
        <v>145.4</v>
      </c>
      <c r="G567" s="442">
        <v>0</v>
      </c>
      <c r="H567" s="442">
        <v>0</v>
      </c>
      <c r="I567" s="442">
        <v>0</v>
      </c>
      <c r="J567" s="442">
        <v>0</v>
      </c>
      <c r="K567" s="442">
        <v>0</v>
      </c>
      <c r="L567" s="443"/>
      <c r="M567" s="732"/>
    </row>
    <row r="568" spans="1:13" s="35" customFormat="1" ht="24.75" customHeight="1">
      <c r="A568" s="993" t="s">
        <v>319</v>
      </c>
      <c r="B568" s="991" t="s">
        <v>320</v>
      </c>
      <c r="C568" s="438"/>
      <c r="D568" s="670">
        <v>2017</v>
      </c>
      <c r="E568" s="439">
        <f t="shared" si="93"/>
        <v>96.8</v>
      </c>
      <c r="F568" s="439">
        <v>0</v>
      </c>
      <c r="G568" s="439">
        <f aca="true" t="shared" si="95" ref="G568:G573">H568+I568</f>
        <v>96.8</v>
      </c>
      <c r="H568" s="439"/>
      <c r="I568" s="439">
        <v>96.8</v>
      </c>
      <c r="J568" s="439">
        <v>0</v>
      </c>
      <c r="K568" s="439">
        <v>0</v>
      </c>
      <c r="L568" s="730" t="s">
        <v>63</v>
      </c>
      <c r="M568" s="786" t="s">
        <v>321</v>
      </c>
    </row>
    <row r="569" spans="1:13" s="35" customFormat="1" ht="24.75" customHeight="1">
      <c r="A569" s="994"/>
      <c r="B569" s="992"/>
      <c r="C569" s="438"/>
      <c r="D569" s="467">
        <v>2018</v>
      </c>
      <c r="E569" s="127">
        <f t="shared" si="93"/>
        <v>127.3</v>
      </c>
      <c r="F569" s="127">
        <v>0</v>
      </c>
      <c r="G569" s="127">
        <f t="shared" si="95"/>
        <v>127.3</v>
      </c>
      <c r="H569" s="127"/>
      <c r="I569" s="127">
        <v>127.3</v>
      </c>
      <c r="J569" s="127">
        <v>0</v>
      </c>
      <c r="K569" s="127">
        <v>0</v>
      </c>
      <c r="L569" s="672" t="s">
        <v>63</v>
      </c>
      <c r="M569" s="787"/>
    </row>
    <row r="570" spans="1:13" s="35" customFormat="1" ht="24.75" customHeight="1">
      <c r="A570" s="994"/>
      <c r="B570" s="992"/>
      <c r="C570" s="438"/>
      <c r="D570" s="467">
        <v>2019</v>
      </c>
      <c r="E570" s="127">
        <f t="shared" si="93"/>
        <v>132.7</v>
      </c>
      <c r="F570" s="127">
        <v>0</v>
      </c>
      <c r="G570" s="127">
        <f t="shared" si="95"/>
        <v>132.7</v>
      </c>
      <c r="H570" s="127"/>
      <c r="I570" s="127">
        <v>132.7</v>
      </c>
      <c r="J570" s="127">
        <v>0</v>
      </c>
      <c r="K570" s="127">
        <v>0</v>
      </c>
      <c r="L570" s="672" t="s">
        <v>63</v>
      </c>
      <c r="M570" s="787"/>
    </row>
    <row r="571" spans="1:13" s="35" customFormat="1" ht="24.75" customHeight="1">
      <c r="A571" s="994"/>
      <c r="B571" s="992"/>
      <c r="C571" s="438"/>
      <c r="D571" s="467">
        <v>2020</v>
      </c>
      <c r="E571" s="127">
        <f t="shared" si="93"/>
        <v>134.4</v>
      </c>
      <c r="F571" s="127">
        <v>134.4</v>
      </c>
      <c r="G571" s="127">
        <f t="shared" si="95"/>
        <v>0</v>
      </c>
      <c r="H571" s="127"/>
      <c r="I571" s="127">
        <v>0</v>
      </c>
      <c r="J571" s="127">
        <v>0</v>
      </c>
      <c r="K571" s="127">
        <v>0</v>
      </c>
      <c r="L571" s="672" t="s">
        <v>63</v>
      </c>
      <c r="M571" s="787"/>
    </row>
    <row r="572" spans="1:13" s="35" customFormat="1" ht="24.75" customHeight="1">
      <c r="A572" s="994"/>
      <c r="B572" s="992"/>
      <c r="C572" s="438"/>
      <c r="D572" s="467">
        <v>2021</v>
      </c>
      <c r="E572" s="127">
        <f t="shared" si="93"/>
        <v>288.7</v>
      </c>
      <c r="F572" s="127">
        <v>288.7</v>
      </c>
      <c r="G572" s="127">
        <f t="shared" si="95"/>
        <v>0</v>
      </c>
      <c r="H572" s="127"/>
      <c r="I572" s="127">
        <v>0</v>
      </c>
      <c r="J572" s="127">
        <v>0</v>
      </c>
      <c r="K572" s="127">
        <v>0</v>
      </c>
      <c r="L572" s="672" t="s">
        <v>63</v>
      </c>
      <c r="M572" s="787"/>
    </row>
    <row r="573" spans="1:13" s="35" customFormat="1" ht="24.75" customHeight="1">
      <c r="A573" s="994"/>
      <c r="B573" s="992"/>
      <c r="C573" s="438"/>
      <c r="D573" s="467">
        <v>2022</v>
      </c>
      <c r="E573" s="127">
        <f t="shared" si="93"/>
        <v>138.7</v>
      </c>
      <c r="F573" s="127">
        <v>138.7</v>
      </c>
      <c r="G573" s="127">
        <f t="shared" si="95"/>
        <v>0</v>
      </c>
      <c r="H573" s="127"/>
      <c r="I573" s="127">
        <v>0</v>
      </c>
      <c r="J573" s="127">
        <v>0</v>
      </c>
      <c r="K573" s="127">
        <v>0</v>
      </c>
      <c r="L573" s="672" t="s">
        <v>63</v>
      </c>
      <c r="M573" s="787"/>
    </row>
    <row r="574" spans="1:13" s="35" customFormat="1" ht="24.75" customHeight="1">
      <c r="A574" s="994"/>
      <c r="B574" s="992"/>
      <c r="C574" s="438"/>
      <c r="D574" s="698">
        <v>2023</v>
      </c>
      <c r="E574" s="699">
        <f t="shared" si="93"/>
        <v>138.7</v>
      </c>
      <c r="F574" s="699">
        <v>138.7</v>
      </c>
      <c r="G574" s="699">
        <v>0</v>
      </c>
      <c r="H574" s="699"/>
      <c r="I574" s="699">
        <v>0</v>
      </c>
      <c r="J574" s="699">
        <v>0</v>
      </c>
      <c r="K574" s="699">
        <v>0</v>
      </c>
      <c r="L574" s="672" t="s">
        <v>63</v>
      </c>
      <c r="M574" s="787"/>
    </row>
    <row r="575" spans="1:13" s="35" customFormat="1" ht="24.75" customHeight="1" thickBot="1">
      <c r="A575" s="994"/>
      <c r="B575" s="992"/>
      <c r="C575" s="697"/>
      <c r="D575" s="720">
        <v>2024</v>
      </c>
      <c r="E575" s="696">
        <f>F575+G575+J575+K575</f>
        <v>138.7</v>
      </c>
      <c r="F575" s="696">
        <v>138.7</v>
      </c>
      <c r="G575" s="696">
        <v>0</v>
      </c>
      <c r="H575" s="696"/>
      <c r="I575" s="696">
        <v>0</v>
      </c>
      <c r="J575" s="696">
        <v>0</v>
      </c>
      <c r="K575" s="696">
        <v>0</v>
      </c>
      <c r="L575" s="709" t="s">
        <v>63</v>
      </c>
      <c r="M575" s="733"/>
    </row>
    <row r="576" spans="1:13" s="35" customFormat="1" ht="24.75" customHeight="1">
      <c r="A576" s="1010" t="s">
        <v>322</v>
      </c>
      <c r="B576" s="991" t="s">
        <v>323</v>
      </c>
      <c r="C576" s="707"/>
      <c r="D576" s="704">
        <v>2017</v>
      </c>
      <c r="E576" s="706">
        <f t="shared" si="93"/>
        <v>5391.1</v>
      </c>
      <c r="F576" s="706">
        <v>5391.1</v>
      </c>
      <c r="G576" s="706">
        <f aca="true" t="shared" si="96" ref="G576:G585">H576+I576</f>
        <v>0</v>
      </c>
      <c r="H576" s="706"/>
      <c r="I576" s="706">
        <v>0</v>
      </c>
      <c r="J576" s="706">
        <v>0</v>
      </c>
      <c r="K576" s="706">
        <v>0</v>
      </c>
      <c r="L576" s="710" t="s">
        <v>63</v>
      </c>
      <c r="M576" s="773" t="s">
        <v>324</v>
      </c>
    </row>
    <row r="577" spans="1:21" s="35" customFormat="1" ht="24.75" customHeight="1">
      <c r="A577" s="1010"/>
      <c r="B577" s="992"/>
      <c r="C577" s="707"/>
      <c r="D577" s="704">
        <v>2018</v>
      </c>
      <c r="E577" s="706">
        <f t="shared" si="93"/>
        <v>5870.4</v>
      </c>
      <c r="F577" s="706">
        <v>5870.4</v>
      </c>
      <c r="G577" s="706">
        <f t="shared" si="96"/>
        <v>0</v>
      </c>
      <c r="H577" s="706"/>
      <c r="I577" s="706">
        <v>0</v>
      </c>
      <c r="J577" s="706">
        <v>0</v>
      </c>
      <c r="K577" s="706">
        <v>0</v>
      </c>
      <c r="L577" s="710" t="s">
        <v>63</v>
      </c>
      <c r="M577" s="774"/>
      <c r="Q577" s="441"/>
      <c r="R577" s="441"/>
      <c r="S577" s="441"/>
      <c r="T577" s="441"/>
      <c r="U577" s="441"/>
    </row>
    <row r="578" spans="1:21" s="35" customFormat="1" ht="24.75" customHeight="1">
      <c r="A578" s="1010"/>
      <c r="B578" s="992"/>
      <c r="C578" s="721"/>
      <c r="D578" s="704">
        <v>2019</v>
      </c>
      <c r="E578" s="706">
        <f t="shared" si="93"/>
        <v>6295.7</v>
      </c>
      <c r="F578" s="706">
        <f>5735.3+560.4</f>
        <v>6295.7</v>
      </c>
      <c r="G578" s="706">
        <f t="shared" si="96"/>
        <v>0</v>
      </c>
      <c r="H578" s="706"/>
      <c r="I578" s="706">
        <v>0</v>
      </c>
      <c r="J578" s="706">
        <v>0</v>
      </c>
      <c r="K578" s="706">
        <v>0</v>
      </c>
      <c r="L578" s="710" t="s">
        <v>63</v>
      </c>
      <c r="M578" s="774"/>
      <c r="Q578" s="441"/>
      <c r="R578" s="441"/>
      <c r="S578" s="441"/>
      <c r="T578" s="441"/>
      <c r="U578" s="441"/>
    </row>
    <row r="579" spans="1:21" s="35" customFormat="1" ht="24.75" customHeight="1">
      <c r="A579" s="1010"/>
      <c r="B579" s="992"/>
      <c r="C579" s="721"/>
      <c r="D579" s="704">
        <v>2020</v>
      </c>
      <c r="E579" s="706">
        <f t="shared" si="93"/>
        <v>5046.599999999999</v>
      </c>
      <c r="F579" s="706">
        <f>6203.9-1157.3</f>
        <v>5046.599999999999</v>
      </c>
      <c r="G579" s="706">
        <f t="shared" si="96"/>
        <v>0</v>
      </c>
      <c r="H579" s="706"/>
      <c r="I579" s="706">
        <v>0</v>
      </c>
      <c r="J579" s="706">
        <v>0</v>
      </c>
      <c r="K579" s="706">
        <v>0</v>
      </c>
      <c r="L579" s="710" t="s">
        <v>63</v>
      </c>
      <c r="M579" s="774"/>
      <c r="Q579" s="441"/>
      <c r="R579" s="441"/>
      <c r="S579" s="441"/>
      <c r="T579" s="441"/>
      <c r="U579" s="441"/>
    </row>
    <row r="580" spans="1:21" s="35" customFormat="1" ht="24.75" customHeight="1">
      <c r="A580" s="1010"/>
      <c r="B580" s="992"/>
      <c r="C580" s="721"/>
      <c r="D580" s="704">
        <v>2021</v>
      </c>
      <c r="E580" s="706">
        <f t="shared" si="93"/>
        <v>5617.1</v>
      </c>
      <c r="F580" s="706">
        <v>5617.1</v>
      </c>
      <c r="G580" s="706">
        <f t="shared" si="96"/>
        <v>0</v>
      </c>
      <c r="H580" s="706"/>
      <c r="I580" s="706">
        <v>0</v>
      </c>
      <c r="J580" s="706">
        <v>0</v>
      </c>
      <c r="K580" s="706">
        <v>0</v>
      </c>
      <c r="L580" s="710" t="s">
        <v>63</v>
      </c>
      <c r="M580" s="774"/>
      <c r="Q580" s="441"/>
      <c r="R580" s="441"/>
      <c r="S580" s="441"/>
      <c r="T580" s="441"/>
      <c r="U580" s="441"/>
    </row>
    <row r="581" spans="1:21" s="35" customFormat="1" ht="24.75" customHeight="1">
      <c r="A581" s="1010"/>
      <c r="B581" s="992"/>
      <c r="C581" s="721"/>
      <c r="D581" s="704">
        <v>2022</v>
      </c>
      <c r="E581" s="706">
        <f t="shared" si="93"/>
        <v>6062.1</v>
      </c>
      <c r="F581" s="706">
        <v>6062.1</v>
      </c>
      <c r="G581" s="706">
        <f t="shared" si="96"/>
        <v>0</v>
      </c>
      <c r="H581" s="706"/>
      <c r="I581" s="706">
        <v>0</v>
      </c>
      <c r="J581" s="706">
        <v>0</v>
      </c>
      <c r="K581" s="706">
        <v>0</v>
      </c>
      <c r="L581" s="710" t="s">
        <v>63</v>
      </c>
      <c r="M581" s="774"/>
      <c r="Q581" s="441"/>
      <c r="R581" s="441"/>
      <c r="S581" s="441"/>
      <c r="T581" s="441"/>
      <c r="U581" s="441"/>
    </row>
    <row r="582" spans="1:21" s="35" customFormat="1" ht="24.75" customHeight="1" thickBot="1">
      <c r="A582" s="1010"/>
      <c r="B582" s="992"/>
      <c r="C582" s="721"/>
      <c r="D582" s="704">
        <v>2023</v>
      </c>
      <c r="E582" s="706">
        <f t="shared" si="93"/>
        <v>6062.1</v>
      </c>
      <c r="F582" s="706">
        <v>6062.1</v>
      </c>
      <c r="G582" s="706">
        <f t="shared" si="96"/>
        <v>0</v>
      </c>
      <c r="H582" s="706"/>
      <c r="I582" s="706">
        <v>0</v>
      </c>
      <c r="J582" s="706">
        <v>0</v>
      </c>
      <c r="K582" s="706">
        <v>0</v>
      </c>
      <c r="L582" s="710" t="s">
        <v>63</v>
      </c>
      <c r="M582" s="775"/>
      <c r="Q582" s="441"/>
      <c r="R582" s="441"/>
      <c r="S582" s="441"/>
      <c r="T582" s="441"/>
      <c r="U582" s="441"/>
    </row>
    <row r="583" spans="1:21" s="35" customFormat="1" ht="24.75" customHeight="1" thickBot="1">
      <c r="A583" s="1011"/>
      <c r="B583" s="992"/>
      <c r="C583" s="440"/>
      <c r="D583" s="722">
        <v>2024</v>
      </c>
      <c r="E583" s="723">
        <f>F583+G583+J583+K583</f>
        <v>6062.1</v>
      </c>
      <c r="F583" s="723">
        <v>6062.1</v>
      </c>
      <c r="G583" s="723">
        <f>H583+I583</f>
        <v>0</v>
      </c>
      <c r="H583" s="723"/>
      <c r="I583" s="723">
        <v>0</v>
      </c>
      <c r="J583" s="723">
        <v>0</v>
      </c>
      <c r="K583" s="723">
        <v>0</v>
      </c>
      <c r="L583" s="731" t="s">
        <v>63</v>
      </c>
      <c r="M583" s="734"/>
      <c r="Q583" s="441"/>
      <c r="R583" s="441"/>
      <c r="S583" s="441"/>
      <c r="T583" s="441"/>
      <c r="U583" s="441"/>
    </row>
    <row r="584" spans="1:21" s="35" customFormat="1" ht="30.75" customHeight="1" thickBot="1">
      <c r="A584" s="1000"/>
      <c r="B584" s="1003" t="s">
        <v>325</v>
      </c>
      <c r="C584" s="724"/>
      <c r="D584" s="725">
        <v>2017</v>
      </c>
      <c r="E584" s="520">
        <f t="shared" si="93"/>
        <v>5780.3</v>
      </c>
      <c r="F584" s="520">
        <f aca="true" t="shared" si="97" ref="F584:F589">F560+F568+F576</f>
        <v>5683.5</v>
      </c>
      <c r="G584" s="520">
        <f t="shared" si="96"/>
        <v>96.8</v>
      </c>
      <c r="H584" s="520">
        <f>H560+H568+H576</f>
        <v>0</v>
      </c>
      <c r="I584" s="520">
        <f>I560+I568+I576</f>
        <v>96.8</v>
      </c>
      <c r="J584" s="520">
        <f>J560+J568+J576</f>
        <v>0</v>
      </c>
      <c r="K584" s="726">
        <f>K560+K568+K576</f>
        <v>0</v>
      </c>
      <c r="L584" s="776"/>
      <c r="M584" s="822"/>
      <c r="Q584" s="441"/>
      <c r="R584" s="441"/>
      <c r="S584" s="441"/>
      <c r="T584" s="441"/>
      <c r="U584" s="441"/>
    </row>
    <row r="585" spans="1:21" s="35" customFormat="1" ht="30.75" customHeight="1" thickBot="1">
      <c r="A585" s="1001"/>
      <c r="B585" s="1004"/>
      <c r="C585" s="711"/>
      <c r="D585" s="423">
        <v>2018</v>
      </c>
      <c r="E585" s="126">
        <f t="shared" si="93"/>
        <v>6230.9</v>
      </c>
      <c r="F585" s="126">
        <f t="shared" si="97"/>
        <v>6103.599999999999</v>
      </c>
      <c r="G585" s="126">
        <f t="shared" si="96"/>
        <v>127.3</v>
      </c>
      <c r="H585" s="126">
        <f aca="true" t="shared" si="98" ref="H585:I589">H561+H569+H577</f>
        <v>0</v>
      </c>
      <c r="I585" s="126">
        <f t="shared" si="98"/>
        <v>127.3</v>
      </c>
      <c r="J585" s="126">
        <v>0</v>
      </c>
      <c r="K585" s="444">
        <v>0</v>
      </c>
      <c r="L585" s="777"/>
      <c r="M585" s="814"/>
      <c r="Q585" s="441"/>
      <c r="R585" s="441"/>
      <c r="S585" s="441"/>
      <c r="T585" s="441"/>
      <c r="U585" s="441"/>
    </row>
    <row r="586" spans="1:21" s="35" customFormat="1" ht="30.75" customHeight="1" thickBot="1">
      <c r="A586" s="1001"/>
      <c r="B586" s="1004"/>
      <c r="C586" s="711"/>
      <c r="D586" s="423">
        <v>2019</v>
      </c>
      <c r="E586" s="126">
        <f>E562+E570+E578</f>
        <v>6710.3</v>
      </c>
      <c r="F586" s="126">
        <f t="shared" si="97"/>
        <v>6577.599999999999</v>
      </c>
      <c r="G586" s="126">
        <f>G562+G570+G578</f>
        <v>132.7</v>
      </c>
      <c r="H586" s="126">
        <f t="shared" si="98"/>
        <v>0</v>
      </c>
      <c r="I586" s="126">
        <f t="shared" si="98"/>
        <v>132.7</v>
      </c>
      <c r="J586" s="126">
        <f aca="true" t="shared" si="99" ref="J586:K589">J562+J570+J578</f>
        <v>0</v>
      </c>
      <c r="K586" s="444">
        <f t="shared" si="99"/>
        <v>0</v>
      </c>
      <c r="L586" s="777"/>
      <c r="M586" s="814"/>
      <c r="Q586" s="441"/>
      <c r="R586" s="441"/>
      <c r="S586" s="441"/>
      <c r="T586" s="441"/>
      <c r="U586" s="441"/>
    </row>
    <row r="587" spans="1:21" s="35" customFormat="1" ht="30.75" customHeight="1" thickBot="1">
      <c r="A587" s="1001"/>
      <c r="B587" s="1004"/>
      <c r="C587" s="712"/>
      <c r="D587" s="423">
        <v>2020</v>
      </c>
      <c r="E587" s="126">
        <f>E563+E571+E579</f>
        <v>5397.2</v>
      </c>
      <c r="F587" s="126">
        <f t="shared" si="97"/>
        <v>5397.2</v>
      </c>
      <c r="G587" s="126">
        <f>G563+G571+G579</f>
        <v>0</v>
      </c>
      <c r="H587" s="126">
        <f t="shared" si="98"/>
        <v>0</v>
      </c>
      <c r="I587" s="126">
        <f t="shared" si="98"/>
        <v>0</v>
      </c>
      <c r="J587" s="126">
        <f t="shared" si="99"/>
        <v>0</v>
      </c>
      <c r="K587" s="444">
        <f t="shared" si="99"/>
        <v>0</v>
      </c>
      <c r="L587" s="777"/>
      <c r="M587" s="814"/>
      <c r="Q587" s="441"/>
      <c r="R587" s="441"/>
      <c r="S587" s="441"/>
      <c r="T587" s="441"/>
      <c r="U587" s="441"/>
    </row>
    <row r="588" spans="1:21" s="35" customFormat="1" ht="30.75" customHeight="1" thickBot="1">
      <c r="A588" s="1001"/>
      <c r="B588" s="1004"/>
      <c r="C588" s="712"/>
      <c r="D588" s="437">
        <v>2021</v>
      </c>
      <c r="E588" s="133">
        <f>E564+E572+E580</f>
        <v>6051.200000000001</v>
      </c>
      <c r="F588" s="133">
        <f t="shared" si="97"/>
        <v>6051.200000000001</v>
      </c>
      <c r="G588" s="133">
        <f>G564+G572+G580</f>
        <v>0</v>
      </c>
      <c r="H588" s="133">
        <f t="shared" si="98"/>
        <v>0</v>
      </c>
      <c r="I588" s="133">
        <f t="shared" si="98"/>
        <v>0</v>
      </c>
      <c r="J588" s="133">
        <f t="shared" si="99"/>
        <v>0</v>
      </c>
      <c r="K588" s="445">
        <f t="shared" si="99"/>
        <v>0</v>
      </c>
      <c r="L588" s="777"/>
      <c r="M588" s="814"/>
      <c r="Q588" s="441"/>
      <c r="R588" s="441"/>
      <c r="S588" s="441"/>
      <c r="T588" s="441"/>
      <c r="U588" s="441"/>
    </row>
    <row r="589" spans="1:21" s="35" customFormat="1" ht="30.75" customHeight="1" thickBot="1">
      <c r="A589" s="1001"/>
      <c r="B589" s="1004"/>
      <c r="C589" s="712"/>
      <c r="D589" s="437">
        <v>2022</v>
      </c>
      <c r="E589" s="133">
        <f>E565+E573+E581</f>
        <v>6346.200000000001</v>
      </c>
      <c r="F589" s="133">
        <f t="shared" si="97"/>
        <v>6346.200000000001</v>
      </c>
      <c r="G589" s="133">
        <f>G565+G573+G581</f>
        <v>0</v>
      </c>
      <c r="H589" s="133">
        <f t="shared" si="98"/>
        <v>0</v>
      </c>
      <c r="I589" s="133">
        <f t="shared" si="98"/>
        <v>0</v>
      </c>
      <c r="J589" s="133">
        <f t="shared" si="99"/>
        <v>0</v>
      </c>
      <c r="K589" s="445">
        <f t="shared" si="99"/>
        <v>0</v>
      </c>
      <c r="L589" s="777"/>
      <c r="M589" s="814"/>
      <c r="Q589" s="441"/>
      <c r="R589" s="441"/>
      <c r="S589" s="441"/>
      <c r="T589" s="441"/>
      <c r="U589" s="441"/>
    </row>
    <row r="590" spans="1:13" s="35" customFormat="1" ht="30.75" customHeight="1" thickBot="1">
      <c r="A590" s="1001"/>
      <c r="B590" s="1004"/>
      <c r="C590" s="712"/>
      <c r="D590" s="269">
        <v>2023</v>
      </c>
      <c r="E590" s="120">
        <f aca="true" t="shared" si="100" ref="E590:K591">E582+E574+E566</f>
        <v>6346.2</v>
      </c>
      <c r="F590" s="120">
        <f t="shared" si="100"/>
        <v>6346.2</v>
      </c>
      <c r="G590" s="120">
        <f t="shared" si="100"/>
        <v>0</v>
      </c>
      <c r="H590" s="120">
        <f t="shared" si="100"/>
        <v>0</v>
      </c>
      <c r="I590" s="120">
        <f t="shared" si="100"/>
        <v>0</v>
      </c>
      <c r="J590" s="120">
        <f t="shared" si="100"/>
        <v>0</v>
      </c>
      <c r="K590" s="668">
        <f t="shared" si="100"/>
        <v>0</v>
      </c>
      <c r="L590" s="778"/>
      <c r="M590" s="823"/>
    </row>
    <row r="591" spans="1:13" s="35" customFormat="1" ht="30.75" customHeight="1" thickBot="1">
      <c r="A591" s="1002"/>
      <c r="B591" s="1005"/>
      <c r="C591" s="713"/>
      <c r="D591" s="727">
        <v>2024</v>
      </c>
      <c r="E591" s="728">
        <f t="shared" si="100"/>
        <v>6346.2</v>
      </c>
      <c r="F591" s="728">
        <f t="shared" si="100"/>
        <v>6346.2</v>
      </c>
      <c r="G591" s="728">
        <f t="shared" si="100"/>
        <v>0</v>
      </c>
      <c r="H591" s="728">
        <f t="shared" si="100"/>
        <v>0</v>
      </c>
      <c r="I591" s="728">
        <f t="shared" si="100"/>
        <v>0</v>
      </c>
      <c r="J591" s="728">
        <f t="shared" si="100"/>
        <v>0</v>
      </c>
      <c r="K591" s="729">
        <f t="shared" si="100"/>
        <v>0</v>
      </c>
      <c r="L591" s="719"/>
      <c r="M591" s="714"/>
    </row>
    <row r="592" spans="1:13" s="35" customFormat="1" ht="30.75" customHeight="1">
      <c r="A592" s="1018" t="s">
        <v>326</v>
      </c>
      <c r="B592" s="1019"/>
      <c r="C592" s="1019"/>
      <c r="D592" s="1019"/>
      <c r="E592" s="1019"/>
      <c r="F592" s="1020"/>
      <c r="G592" s="424"/>
      <c r="H592" s="424"/>
      <c r="I592" s="424"/>
      <c r="J592" s="424"/>
      <c r="K592" s="424"/>
      <c r="L592" s="424"/>
      <c r="M592" s="664"/>
    </row>
    <row r="593" spans="1:13" s="35" customFormat="1" ht="30.75" customHeight="1">
      <c r="A593" s="1021" t="s">
        <v>327</v>
      </c>
      <c r="B593" s="1022"/>
      <c r="C593" s="1022"/>
      <c r="D593" s="1022"/>
      <c r="E593" s="1022"/>
      <c r="F593" s="1023"/>
      <c r="G593" s="446"/>
      <c r="H593" s="446"/>
      <c r="I593" s="446"/>
      <c r="J593" s="446"/>
      <c r="K593" s="446"/>
      <c r="L593" s="446"/>
      <c r="M593" s="665"/>
    </row>
    <row r="594" spans="1:13" s="35" customFormat="1" ht="30.75" customHeight="1" thickBot="1">
      <c r="A594" s="666" t="s">
        <v>270</v>
      </c>
      <c r="B594" s="457"/>
      <c r="C594" s="458"/>
      <c r="D594" s="446"/>
      <c r="E594" s="446"/>
      <c r="F594" s="446"/>
      <c r="G594" s="446"/>
      <c r="H594" s="446"/>
      <c r="I594" s="446"/>
      <c r="J594" s="446"/>
      <c r="K594" s="446"/>
      <c r="L594" s="446"/>
      <c r="M594" s="665"/>
    </row>
    <row r="595" spans="1:16" s="35" customFormat="1" ht="30.75" customHeight="1" thickBot="1">
      <c r="A595" s="779" t="s">
        <v>328</v>
      </c>
      <c r="B595" s="798" t="s">
        <v>329</v>
      </c>
      <c r="C595" s="456"/>
      <c r="D595" s="269">
        <v>2021</v>
      </c>
      <c r="E595" s="120">
        <f>F595+G595+J595+K595</f>
        <v>564.476</v>
      </c>
      <c r="F595" s="120"/>
      <c r="G595" s="120">
        <f>H595+I595</f>
        <v>0</v>
      </c>
      <c r="H595" s="120"/>
      <c r="I595" s="120">
        <v>0</v>
      </c>
      <c r="J595" s="120">
        <v>564.476</v>
      </c>
      <c r="K595" s="479">
        <v>0</v>
      </c>
      <c r="L595" s="781" t="s">
        <v>330</v>
      </c>
      <c r="M595" s="782"/>
      <c r="N595" s="447"/>
      <c r="O595" s="447"/>
      <c r="P595" s="447"/>
    </row>
    <row r="596" spans="1:16" s="35" customFormat="1" ht="30.75" customHeight="1" thickBot="1">
      <c r="A596" s="779"/>
      <c r="B596" s="798"/>
      <c r="C596" s="456"/>
      <c r="D596" s="269">
        <v>2022</v>
      </c>
      <c r="E596" s="120">
        <f>F596+G596+J596+K596</f>
        <v>1316.556</v>
      </c>
      <c r="F596" s="120"/>
      <c r="G596" s="120">
        <f>H596+I596</f>
        <v>0</v>
      </c>
      <c r="H596" s="120"/>
      <c r="I596" s="120">
        <v>0</v>
      </c>
      <c r="J596" s="120">
        <v>1316.556</v>
      </c>
      <c r="K596" s="479">
        <v>0</v>
      </c>
      <c r="L596" s="781"/>
      <c r="M596" s="782"/>
      <c r="N596" s="447"/>
      <c r="O596" s="447"/>
      <c r="P596" s="447"/>
    </row>
    <row r="597" spans="1:13" s="35" customFormat="1" ht="30.75" customHeight="1" thickBot="1">
      <c r="A597" s="780"/>
      <c r="B597" s="798"/>
      <c r="C597" s="456"/>
      <c r="D597" s="269">
        <v>2023</v>
      </c>
      <c r="E597" s="120">
        <f>F597+G597+J597+K597</f>
        <v>1421.15</v>
      </c>
      <c r="F597" s="120"/>
      <c r="G597" s="120">
        <f>H597+I597</f>
        <v>0</v>
      </c>
      <c r="H597" s="120"/>
      <c r="I597" s="120">
        <v>0</v>
      </c>
      <c r="J597" s="120">
        <v>1421.15</v>
      </c>
      <c r="K597" s="479">
        <v>0</v>
      </c>
      <c r="L597" s="781"/>
      <c r="M597" s="771"/>
    </row>
    <row r="598" spans="1:13" s="35" customFormat="1" ht="30.75" customHeight="1" thickBot="1">
      <c r="A598" s="735"/>
      <c r="B598" s="674"/>
      <c r="C598" s="676"/>
      <c r="D598" s="269">
        <v>2024</v>
      </c>
      <c r="E598" s="120">
        <f>F598+G598+J598+K598</f>
        <v>1421.15</v>
      </c>
      <c r="F598" s="120"/>
      <c r="G598" s="120">
        <f>H598+I598</f>
        <v>0</v>
      </c>
      <c r="H598" s="120"/>
      <c r="I598" s="120">
        <v>0</v>
      </c>
      <c r="J598" s="120">
        <v>1421.15</v>
      </c>
      <c r="K598" s="668">
        <v>0</v>
      </c>
      <c r="L598" s="671"/>
      <c r="M598" s="669"/>
    </row>
    <row r="599" spans="1:13" s="35" customFormat="1" ht="30.75" customHeight="1" thickBot="1">
      <c r="A599" s="1008"/>
      <c r="B599" s="1006" t="s">
        <v>331</v>
      </c>
      <c r="C599" s="667"/>
      <c r="D599" s="269">
        <v>2021</v>
      </c>
      <c r="E599" s="120">
        <f aca="true" t="shared" si="101" ref="E599:K601">E595</f>
        <v>564.476</v>
      </c>
      <c r="F599" s="120">
        <f t="shared" si="101"/>
        <v>0</v>
      </c>
      <c r="G599" s="120">
        <f t="shared" si="101"/>
        <v>0</v>
      </c>
      <c r="H599" s="120">
        <f t="shared" si="101"/>
        <v>0</v>
      </c>
      <c r="I599" s="120">
        <f t="shared" si="101"/>
        <v>0</v>
      </c>
      <c r="J599" s="120">
        <f t="shared" si="101"/>
        <v>564.476</v>
      </c>
      <c r="K599" s="120">
        <f t="shared" si="101"/>
        <v>0</v>
      </c>
      <c r="L599" s="769"/>
      <c r="M599" s="771"/>
    </row>
    <row r="600" spans="1:13" s="35" customFormat="1" ht="30.75" customHeight="1" thickBot="1">
      <c r="A600" s="1009"/>
      <c r="B600" s="1007"/>
      <c r="C600" s="459"/>
      <c r="D600" s="269">
        <v>2022</v>
      </c>
      <c r="E600" s="120">
        <f t="shared" si="101"/>
        <v>1316.556</v>
      </c>
      <c r="F600" s="120">
        <f t="shared" si="101"/>
        <v>0</v>
      </c>
      <c r="G600" s="120">
        <f t="shared" si="101"/>
        <v>0</v>
      </c>
      <c r="H600" s="120">
        <f t="shared" si="101"/>
        <v>0</v>
      </c>
      <c r="I600" s="120">
        <f t="shared" si="101"/>
        <v>0</v>
      </c>
      <c r="J600" s="120">
        <f t="shared" si="101"/>
        <v>1316.556</v>
      </c>
      <c r="K600" s="120">
        <f t="shared" si="101"/>
        <v>0</v>
      </c>
      <c r="L600" s="769"/>
      <c r="M600" s="771"/>
    </row>
    <row r="601" spans="1:13" s="35" customFormat="1" ht="30.75" customHeight="1" thickBot="1">
      <c r="A601" s="1009"/>
      <c r="B601" s="1007"/>
      <c r="C601" s="675"/>
      <c r="D601" s="448">
        <v>2023</v>
      </c>
      <c r="E601" s="449">
        <f t="shared" si="101"/>
        <v>1421.15</v>
      </c>
      <c r="F601" s="449">
        <f t="shared" si="101"/>
        <v>0</v>
      </c>
      <c r="G601" s="449">
        <f t="shared" si="101"/>
        <v>0</v>
      </c>
      <c r="H601" s="449">
        <f t="shared" si="101"/>
        <v>0</v>
      </c>
      <c r="I601" s="449">
        <f t="shared" si="101"/>
        <v>0</v>
      </c>
      <c r="J601" s="449">
        <f t="shared" si="101"/>
        <v>1421.15</v>
      </c>
      <c r="K601" s="449">
        <f t="shared" si="101"/>
        <v>0</v>
      </c>
      <c r="L601" s="770"/>
      <c r="M601" s="772"/>
    </row>
    <row r="602" spans="1:13" s="35" customFormat="1" ht="30.75" customHeight="1" thickBot="1">
      <c r="A602" s="1009"/>
      <c r="B602" s="1007"/>
      <c r="C602" s="673"/>
      <c r="D602" s="448">
        <v>2024</v>
      </c>
      <c r="E602" s="449">
        <f>E598</f>
        <v>1421.15</v>
      </c>
      <c r="F602" s="449">
        <f aca="true" t="shared" si="102" ref="F602:K602">F599</f>
        <v>0</v>
      </c>
      <c r="G602" s="449">
        <f t="shared" si="102"/>
        <v>0</v>
      </c>
      <c r="H602" s="449">
        <f t="shared" si="102"/>
        <v>0</v>
      </c>
      <c r="I602" s="449">
        <f t="shared" si="102"/>
        <v>0</v>
      </c>
      <c r="J602" s="449">
        <f>J598</f>
        <v>1421.15</v>
      </c>
      <c r="K602" s="449">
        <f t="shared" si="102"/>
        <v>0</v>
      </c>
      <c r="L602" s="715"/>
      <c r="M602" s="716"/>
    </row>
    <row r="603" spans="1:13" s="35" customFormat="1" ht="49.5" customHeight="1">
      <c r="A603" s="1012"/>
      <c r="B603" s="1015" t="s">
        <v>332</v>
      </c>
      <c r="C603" s="750"/>
      <c r="D603" s="751" t="s">
        <v>355</v>
      </c>
      <c r="E603" s="752">
        <f>SUM(E604:E622)</f>
        <v>1854871.9644235</v>
      </c>
      <c r="F603" s="752">
        <f>SUM(F604:F622)</f>
        <v>1054593.9999999998</v>
      </c>
      <c r="G603" s="752">
        <f>SUM(G604:G622)</f>
        <v>42037.934</v>
      </c>
      <c r="H603" s="752">
        <f>SUM(H604:H622)</f>
        <v>28051.3</v>
      </c>
      <c r="I603" s="752">
        <f>SUM(I604:I622)</f>
        <v>13986.633999999998</v>
      </c>
      <c r="J603" s="752">
        <f>J604+J605+J606+J607+J608+J609+J622</f>
        <v>758240.0304235</v>
      </c>
      <c r="K603" s="752">
        <f>SUM(K604:K622)</f>
        <v>0</v>
      </c>
      <c r="L603" s="793">
        <f>J608+I608+H608+F608</f>
        <v>279915.9796</v>
      </c>
      <c r="M603" s="795"/>
    </row>
    <row r="604" spans="1:13" s="35" customFormat="1" ht="33" customHeight="1">
      <c r="A604" s="1013"/>
      <c r="B604" s="1016"/>
      <c r="C604" s="736"/>
      <c r="D604" s="717">
        <v>2017</v>
      </c>
      <c r="E604" s="718">
        <f>F604+G604+J604+K604</f>
        <v>259771.653</v>
      </c>
      <c r="F604" s="718">
        <f aca="true" t="shared" si="103" ref="F604:K604">F233+F415+F538+F549+F584</f>
        <v>130298.7</v>
      </c>
      <c r="G604" s="718">
        <f t="shared" si="103"/>
        <v>1029</v>
      </c>
      <c r="H604" s="718">
        <f t="shared" si="103"/>
        <v>0</v>
      </c>
      <c r="I604" s="718">
        <f t="shared" si="103"/>
        <v>1029</v>
      </c>
      <c r="J604" s="718">
        <f t="shared" si="103"/>
        <v>128443.953</v>
      </c>
      <c r="K604" s="718">
        <f t="shared" si="103"/>
        <v>0</v>
      </c>
      <c r="L604" s="794"/>
      <c r="M604" s="796"/>
    </row>
    <row r="605" spans="1:13" s="35" customFormat="1" ht="30.75" customHeight="1">
      <c r="A605" s="1013"/>
      <c r="B605" s="1016"/>
      <c r="C605" s="736"/>
      <c r="D605" s="717">
        <v>2018</v>
      </c>
      <c r="E605" s="718">
        <f>F605+G605+J605+K605</f>
        <v>256780.11129000003</v>
      </c>
      <c r="F605" s="718">
        <f aca="true" t="shared" si="104" ref="F605:H607">F234+F416+F539+F550+F585</f>
        <v>143448.1</v>
      </c>
      <c r="G605" s="718">
        <f t="shared" si="104"/>
        <v>1296.482</v>
      </c>
      <c r="H605" s="718">
        <f t="shared" si="104"/>
        <v>0</v>
      </c>
      <c r="I605" s="718">
        <f>I585+I550+I539+I416+I234</f>
        <v>1296.4820000000002</v>
      </c>
      <c r="J605" s="718">
        <f>J585+J550+J539+J416+J234</f>
        <v>112035.52929000002</v>
      </c>
      <c r="K605" s="718">
        <f>K234+K416+K539+K550+K585</f>
        <v>0</v>
      </c>
      <c r="L605" s="794"/>
      <c r="M605" s="796"/>
    </row>
    <row r="606" spans="1:13" s="35" customFormat="1" ht="30.75" customHeight="1">
      <c r="A606" s="1013"/>
      <c r="B606" s="1016"/>
      <c r="C606" s="736"/>
      <c r="D606" s="717">
        <v>2019</v>
      </c>
      <c r="E606" s="718">
        <f>E235+E417+E540+E551+E586</f>
        <v>274699.70717</v>
      </c>
      <c r="F606" s="718">
        <f t="shared" si="104"/>
        <v>157111.4</v>
      </c>
      <c r="G606" s="718">
        <f t="shared" si="104"/>
        <v>3375.852</v>
      </c>
      <c r="H606" s="718">
        <f t="shared" si="104"/>
        <v>0</v>
      </c>
      <c r="I606" s="718">
        <f>I235+I417+I540+I551+I586</f>
        <v>3375.852</v>
      </c>
      <c r="J606" s="718">
        <f>J235+J417+J540+J551+J586</f>
        <v>114212.45517000003</v>
      </c>
      <c r="K606" s="718">
        <f>K235+K417+K540+K551+K586</f>
        <v>0</v>
      </c>
      <c r="L606" s="794"/>
      <c r="M606" s="796"/>
    </row>
    <row r="607" spans="1:13" s="35" customFormat="1" ht="30.75" customHeight="1">
      <c r="A607" s="1013"/>
      <c r="B607" s="1016"/>
      <c r="C607" s="736"/>
      <c r="D607" s="717">
        <v>2020</v>
      </c>
      <c r="E607" s="718">
        <f>E236+E418+E541+E552+E587</f>
        <v>275223.80590000004</v>
      </c>
      <c r="F607" s="718">
        <f t="shared" si="104"/>
        <v>156504.2</v>
      </c>
      <c r="G607" s="718">
        <f t="shared" si="104"/>
        <v>7019.299999999999</v>
      </c>
      <c r="H607" s="718">
        <f t="shared" si="104"/>
        <v>3073.8</v>
      </c>
      <c r="I607" s="718">
        <f>I236+I418+I541+I552+I587</f>
        <v>3945.5</v>
      </c>
      <c r="J607" s="718">
        <f>J236+J418+J541+J552+J587</f>
        <v>111700.3059</v>
      </c>
      <c r="K607" s="718">
        <f>K236+K418+K541+K552+K587</f>
        <v>0</v>
      </c>
      <c r="L607" s="794"/>
      <c r="M607" s="796"/>
    </row>
    <row r="608" spans="1:13" s="35" customFormat="1" ht="30.75" customHeight="1">
      <c r="A608" s="1013"/>
      <c r="B608" s="1016"/>
      <c r="C608" s="736"/>
      <c r="D608" s="717">
        <v>2021</v>
      </c>
      <c r="E608" s="718">
        <f>E237+E419+E542+E553+E588+E599</f>
        <v>279915.9796</v>
      </c>
      <c r="F608" s="718">
        <f aca="true" t="shared" si="105" ref="F608:K608">F237+F419+F542+F553+F588+F599</f>
        <v>156278.2</v>
      </c>
      <c r="G608" s="718">
        <f t="shared" si="105"/>
        <v>13997.7</v>
      </c>
      <c r="H608" s="718">
        <f t="shared" si="105"/>
        <v>12466.5</v>
      </c>
      <c r="I608" s="718">
        <f t="shared" si="105"/>
        <v>1531.2</v>
      </c>
      <c r="J608" s="718">
        <f>J237+J419+J542+J553+J588+J599</f>
        <v>109640.0796</v>
      </c>
      <c r="K608" s="718">
        <f t="shared" si="105"/>
        <v>0</v>
      </c>
      <c r="L608" s="794"/>
      <c r="M608" s="796"/>
    </row>
    <row r="609" spans="1:13" s="35" customFormat="1" ht="27" customHeight="1">
      <c r="A609" s="1013"/>
      <c r="B609" s="1016"/>
      <c r="C609" s="736"/>
      <c r="D609" s="717">
        <v>2022</v>
      </c>
      <c r="E609" s="718">
        <f>F609+G609+J609+K609</f>
        <v>264951.1244635</v>
      </c>
      <c r="F609" s="718">
        <f>F238+F420+F543+F554+F589</f>
        <v>155442</v>
      </c>
      <c r="G609" s="718">
        <f>H609+I609</f>
        <v>7984.8</v>
      </c>
      <c r="H609" s="718">
        <f>H238+H420+H543+H554+H589</f>
        <v>6574</v>
      </c>
      <c r="I609" s="718">
        <f>I238+I420+I543+I554+I589</f>
        <v>1410.8</v>
      </c>
      <c r="J609" s="718">
        <f>J238+J420+J543+J554+J589+J600</f>
        <v>101524.3244635</v>
      </c>
      <c r="K609" s="718">
        <f>K238+K420+K543+K554+K589</f>
        <v>0</v>
      </c>
      <c r="L609" s="794"/>
      <c r="M609" s="796"/>
    </row>
    <row r="610" spans="1:13" s="25" customFormat="1" ht="25.5" customHeight="1" hidden="1">
      <c r="A610" s="1013"/>
      <c r="B610" s="1016"/>
      <c r="C610" s="737"/>
      <c r="D610" s="738"/>
      <c r="E610" s="739"/>
      <c r="F610" s="740"/>
      <c r="G610" s="740"/>
      <c r="H610" s="741"/>
      <c r="I610" s="742"/>
      <c r="J610" s="743">
        <f>J240+J422+J544+J556+J590</f>
        <v>79262.23300000001</v>
      </c>
      <c r="K610" s="741"/>
      <c r="L610" s="794"/>
      <c r="M610" s="796"/>
    </row>
    <row r="611" spans="1:13" s="25" customFormat="1" ht="25.5" customHeight="1" hidden="1">
      <c r="A611" s="1013"/>
      <c r="B611" s="1016"/>
      <c r="C611" s="737"/>
      <c r="D611" s="738"/>
      <c r="E611" s="739"/>
      <c r="F611" s="744"/>
      <c r="G611" s="744"/>
      <c r="H611" s="742"/>
      <c r="I611" s="745"/>
      <c r="J611" s="743" t="e">
        <f>J241+J423+J546+J557+#REF!</f>
        <v>#REF!</v>
      </c>
      <c r="K611" s="742"/>
      <c r="L611" s="794"/>
      <c r="M611" s="796"/>
    </row>
    <row r="612" spans="1:13" s="25" customFormat="1" ht="15.75" customHeight="1" hidden="1">
      <c r="A612" s="1013"/>
      <c r="B612" s="1016"/>
      <c r="C612" s="737"/>
      <c r="D612" s="738"/>
      <c r="E612" s="739"/>
      <c r="F612" s="744"/>
      <c r="G612" s="744"/>
      <c r="H612" s="742"/>
      <c r="I612" s="742"/>
      <c r="J612" s="743">
        <f aca="true" t="shared" si="106" ref="J612:J619">J242+J424+J547+J558+J603</f>
        <v>758240.0304235</v>
      </c>
      <c r="K612" s="742"/>
      <c r="L612" s="794"/>
      <c r="M612" s="796"/>
    </row>
    <row r="613" spans="1:13" s="25" customFormat="1" ht="24.75" customHeight="1" hidden="1">
      <c r="A613" s="1013"/>
      <c r="B613" s="1016"/>
      <c r="C613" s="737"/>
      <c r="D613" s="738"/>
      <c r="E613" s="739"/>
      <c r="F613" s="744"/>
      <c r="G613" s="744"/>
      <c r="H613" s="742"/>
      <c r="I613" s="746"/>
      <c r="J613" s="743">
        <f t="shared" si="106"/>
        <v>128443.953</v>
      </c>
      <c r="K613" s="742"/>
      <c r="L613" s="794"/>
      <c r="M613" s="796"/>
    </row>
    <row r="614" spans="1:13" s="25" customFormat="1" ht="13.5" customHeight="1" hidden="1">
      <c r="A614" s="1013"/>
      <c r="B614" s="1016"/>
      <c r="C614" s="737"/>
      <c r="D614" s="738"/>
      <c r="E614" s="739"/>
      <c r="F614" s="744"/>
      <c r="G614" s="744"/>
      <c r="H614" s="742"/>
      <c r="I614" s="742"/>
      <c r="J614" s="743">
        <f t="shared" si="106"/>
        <v>194534.05629000004</v>
      </c>
      <c r="K614" s="742"/>
      <c r="L614" s="794"/>
      <c r="M614" s="796"/>
    </row>
    <row r="615" spans="1:13" s="25" customFormat="1" ht="27.75" customHeight="1" hidden="1">
      <c r="A615" s="1013"/>
      <c r="B615" s="1016"/>
      <c r="C615" s="737"/>
      <c r="D615" s="738"/>
      <c r="E615" s="739"/>
      <c r="F615" s="744"/>
      <c r="G615" s="744"/>
      <c r="H615" s="742"/>
      <c r="I615" s="742"/>
      <c r="J615" s="743">
        <f t="shared" si="106"/>
        <v>148066.61367000002</v>
      </c>
      <c r="K615" s="742"/>
      <c r="L615" s="794"/>
      <c r="M615" s="796"/>
    </row>
    <row r="616" spans="1:13" s="25" customFormat="1" ht="18.75" customHeight="1" hidden="1">
      <c r="A616" s="1013"/>
      <c r="B616" s="1016"/>
      <c r="C616" s="737"/>
      <c r="D616" s="738"/>
      <c r="E616" s="739"/>
      <c r="F616" s="744"/>
      <c r="G616" s="744"/>
      <c r="H616" s="742"/>
      <c r="I616" s="742"/>
      <c r="J616" s="743">
        <f t="shared" si="106"/>
        <v>151436.10723000002</v>
      </c>
      <c r="K616" s="742"/>
      <c r="L616" s="794"/>
      <c r="M616" s="796"/>
    </row>
    <row r="617" spans="1:13" s="25" customFormat="1" ht="18.75" customHeight="1" hidden="1">
      <c r="A617" s="1013"/>
      <c r="B617" s="1016"/>
      <c r="C617" s="737"/>
      <c r="D617" s="738"/>
      <c r="E617" s="739"/>
      <c r="F617" s="744"/>
      <c r="G617" s="744"/>
      <c r="H617" s="742"/>
      <c r="I617" s="742"/>
      <c r="J617" s="743">
        <f t="shared" si="106"/>
        <v>160449.0226</v>
      </c>
      <c r="K617" s="742"/>
      <c r="L617" s="794"/>
      <c r="M617" s="796"/>
    </row>
    <row r="618" spans="1:13" s="25" customFormat="1" ht="27" customHeight="1" hidden="1">
      <c r="A618" s="1013"/>
      <c r="B618" s="1016"/>
      <c r="C618" s="737"/>
      <c r="D618" s="738"/>
      <c r="E618" s="739"/>
      <c r="F618" s="744"/>
      <c r="G618" s="744"/>
      <c r="H618" s="742"/>
      <c r="I618" s="742"/>
      <c r="J618" s="743">
        <f t="shared" si="106"/>
        <v>112306.1085835</v>
      </c>
      <c r="K618" s="742"/>
      <c r="L618" s="794"/>
      <c r="M618" s="796"/>
    </row>
    <row r="619" spans="1:13" s="25" customFormat="1" ht="22.5" customHeight="1" hidden="1">
      <c r="A619" s="1013"/>
      <c r="B619" s="1016"/>
      <c r="C619" s="737"/>
      <c r="D619" s="738"/>
      <c r="E619" s="739"/>
      <c r="F619" s="747"/>
      <c r="G619" s="747"/>
      <c r="H619" s="742"/>
      <c r="I619" s="742"/>
      <c r="J619" s="743">
        <f t="shared" si="106"/>
        <v>99157.90693000001</v>
      </c>
      <c r="K619" s="742"/>
      <c r="L619" s="794"/>
      <c r="M619" s="796"/>
    </row>
    <row r="620" spans="1:13" s="25" customFormat="1" ht="18" customHeight="1" hidden="1">
      <c r="A620" s="1013"/>
      <c r="B620" s="1016"/>
      <c r="C620" s="737"/>
      <c r="D620" s="748"/>
      <c r="E620" s="739"/>
      <c r="F620" s="742"/>
      <c r="G620" s="742"/>
      <c r="H620" s="742"/>
      <c r="I620" s="742"/>
      <c r="J620" s="743" t="e">
        <f>J250+J432+J556+J566+J611</f>
        <v>#REF!</v>
      </c>
      <c r="K620" s="742"/>
      <c r="L620" s="794"/>
      <c r="M620" s="796"/>
    </row>
    <row r="621" spans="1:13" s="25" customFormat="1" ht="22.5" customHeight="1" hidden="1">
      <c r="A621" s="1013"/>
      <c r="B621" s="1016"/>
      <c r="C621" s="737"/>
      <c r="D621" s="742"/>
      <c r="E621" s="739"/>
      <c r="F621" s="742"/>
      <c r="G621" s="742"/>
      <c r="H621" s="742"/>
      <c r="I621" s="742"/>
      <c r="J621" s="743">
        <f>J251+J433+J557+J568+J612</f>
        <v>770103.3154235</v>
      </c>
      <c r="K621" s="742"/>
      <c r="L621" s="794"/>
      <c r="M621" s="796"/>
    </row>
    <row r="622" spans="1:13" s="25" customFormat="1" ht="27" customHeight="1">
      <c r="A622" s="1013"/>
      <c r="B622" s="1016"/>
      <c r="C622" s="737"/>
      <c r="D622" s="749">
        <v>2023</v>
      </c>
      <c r="E622" s="743">
        <f aca="true" t="shared" si="107" ref="E622:K623">E590+E556+E544+E422+E240+E601</f>
        <v>243529.58299999996</v>
      </c>
      <c r="F622" s="743">
        <f t="shared" si="107"/>
        <v>155511.4</v>
      </c>
      <c r="G622" s="743">
        <f t="shared" si="107"/>
        <v>7334.8</v>
      </c>
      <c r="H622" s="743">
        <f t="shared" si="107"/>
        <v>5937</v>
      </c>
      <c r="I622" s="743">
        <f t="shared" si="107"/>
        <v>1397.8</v>
      </c>
      <c r="J622" s="743">
        <f t="shared" si="107"/>
        <v>80683.383</v>
      </c>
      <c r="K622" s="743">
        <f t="shared" si="107"/>
        <v>0</v>
      </c>
      <c r="L622" s="794"/>
      <c r="M622" s="796"/>
    </row>
    <row r="623" spans="1:13" s="25" customFormat="1" ht="27" customHeight="1" thickBot="1">
      <c r="A623" s="1014"/>
      <c r="B623" s="1017"/>
      <c r="C623" s="753"/>
      <c r="D623" s="754">
        <v>2024</v>
      </c>
      <c r="E623" s="755">
        <f>E591+E556+E545+E423+E241+E602</f>
        <v>243529.58299999996</v>
      </c>
      <c r="F623" s="755">
        <f t="shared" si="107"/>
        <v>155511.4</v>
      </c>
      <c r="G623" s="755">
        <f t="shared" si="107"/>
        <v>7334.8</v>
      </c>
      <c r="H623" s="755">
        <f t="shared" si="107"/>
        <v>5937</v>
      </c>
      <c r="I623" s="755">
        <f t="shared" si="107"/>
        <v>1397.8</v>
      </c>
      <c r="J623" s="755">
        <f>J591+J556+J545+J423+J241+J602</f>
        <v>80683.383</v>
      </c>
      <c r="K623" s="755">
        <f t="shared" si="107"/>
        <v>0</v>
      </c>
      <c r="L623" s="756"/>
      <c r="M623" s="757"/>
    </row>
    <row r="624" spans="2:9" ht="21" customHeight="1">
      <c r="B624" s="21"/>
      <c r="C624" s="11"/>
      <c r="E624" s="12"/>
      <c r="F624" s="13"/>
      <c r="G624" s="13"/>
      <c r="I624" s="14"/>
    </row>
    <row r="625" spans="1:13" s="2" customFormat="1" ht="21" customHeight="1">
      <c r="A625" s="1"/>
      <c r="B625" s="21"/>
      <c r="C625" s="11"/>
      <c r="D625" s="16"/>
      <c r="E625" s="17"/>
      <c r="F625" s="18"/>
      <c r="G625" s="18"/>
      <c r="L625" s="3"/>
      <c r="M625" s="4"/>
    </row>
    <row r="626" spans="1:13" s="2" customFormat="1" ht="18.75" customHeight="1">
      <c r="A626" s="1"/>
      <c r="B626" s="10"/>
      <c r="C626" s="19"/>
      <c r="L626" s="3"/>
      <c r="M626" s="4"/>
    </row>
    <row r="627" spans="1:13" s="2" customFormat="1" ht="22.5" customHeight="1">
      <c r="A627" s="1"/>
      <c r="B627" s="15"/>
      <c r="D627" s="20"/>
      <c r="L627" s="3"/>
      <c r="M627" s="4"/>
    </row>
    <row r="628" spans="1:13" s="2" customFormat="1" ht="23.25">
      <c r="A628" s="1"/>
      <c r="B628" s="15"/>
      <c r="L628" s="3"/>
      <c r="M628" s="4"/>
    </row>
    <row r="629" ht="23.25">
      <c r="B629" s="15"/>
    </row>
    <row r="631" ht="18.75">
      <c r="B631" s="3"/>
    </row>
  </sheetData>
  <sheetProtection selectLockedCells="1" selectUnlockedCells="1"/>
  <mergeCells count="257">
    <mergeCell ref="A603:A623"/>
    <mergeCell ref="B603:B623"/>
    <mergeCell ref="A592:F592"/>
    <mergeCell ref="A593:F593"/>
    <mergeCell ref="B568:B575"/>
    <mergeCell ref="A568:A575"/>
    <mergeCell ref="B560:B567"/>
    <mergeCell ref="A560:A567"/>
    <mergeCell ref="A584:A591"/>
    <mergeCell ref="B584:B591"/>
    <mergeCell ref="A576:A583"/>
    <mergeCell ref="B576:B583"/>
    <mergeCell ref="J1:M1"/>
    <mergeCell ref="J2:M2"/>
    <mergeCell ref="B3:L3"/>
    <mergeCell ref="A5:A9"/>
    <mergeCell ref="B5:C9"/>
    <mergeCell ref="D5:D9"/>
    <mergeCell ref="E5:E9"/>
    <mergeCell ref="F5:J5"/>
    <mergeCell ref="K5:K9"/>
    <mergeCell ref="L5:L9"/>
    <mergeCell ref="M5:M9"/>
    <mergeCell ref="F6:F9"/>
    <mergeCell ref="G6:J6"/>
    <mergeCell ref="G7:I7"/>
    <mergeCell ref="J7:J9"/>
    <mergeCell ref="G8:G9"/>
    <mergeCell ref="H8:I8"/>
    <mergeCell ref="B10:C10"/>
    <mergeCell ref="A11:M11"/>
    <mergeCell ref="A12:M12"/>
    <mergeCell ref="A13:M13"/>
    <mergeCell ref="A14:M14"/>
    <mergeCell ref="A15:A20"/>
    <mergeCell ref="B15:B22"/>
    <mergeCell ref="M15:M24"/>
    <mergeCell ref="A23:A24"/>
    <mergeCell ref="B23:B24"/>
    <mergeCell ref="A25:A28"/>
    <mergeCell ref="B25:B29"/>
    <mergeCell ref="M25:M28"/>
    <mergeCell ref="A30:A32"/>
    <mergeCell ref="B30:B32"/>
    <mergeCell ref="M30:M31"/>
    <mergeCell ref="A33:A35"/>
    <mergeCell ref="B33:B35"/>
    <mergeCell ref="M33:M42"/>
    <mergeCell ref="A43:A44"/>
    <mergeCell ref="B43:B44"/>
    <mergeCell ref="B45:B48"/>
    <mergeCell ref="A50:A56"/>
    <mergeCell ref="B50:C56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5"/>
    <mergeCell ref="M65:M70"/>
    <mergeCell ref="A73:A74"/>
    <mergeCell ref="B73:C74"/>
    <mergeCell ref="B57:C64"/>
    <mergeCell ref="A65:A72"/>
    <mergeCell ref="B65:C72"/>
    <mergeCell ref="A75:A79"/>
    <mergeCell ref="B75:C79"/>
    <mergeCell ref="A80:A85"/>
    <mergeCell ref="B80:C85"/>
    <mergeCell ref="M80:M85"/>
    <mergeCell ref="A86:A93"/>
    <mergeCell ref="B86:C93"/>
    <mergeCell ref="M86:M89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A94:A100"/>
    <mergeCell ref="B94:C100"/>
    <mergeCell ref="M94:M99"/>
    <mergeCell ref="A101:A108"/>
    <mergeCell ref="B101:C108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7"/>
    <mergeCell ref="A109:A113"/>
    <mergeCell ref="B109:C113"/>
    <mergeCell ref="M109:M113"/>
    <mergeCell ref="A114:A168"/>
    <mergeCell ref="B114:C152"/>
    <mergeCell ref="D114:D120"/>
    <mergeCell ref="E114:E120"/>
    <mergeCell ref="M114:M191"/>
    <mergeCell ref="D121:D128"/>
    <mergeCell ref="E121:E128"/>
    <mergeCell ref="D129:D136"/>
    <mergeCell ref="E129:E136"/>
    <mergeCell ref="D137:D144"/>
    <mergeCell ref="E137:E144"/>
    <mergeCell ref="D145:D153"/>
    <mergeCell ref="E145:E153"/>
    <mergeCell ref="B153:C153"/>
    <mergeCell ref="D154:D161"/>
    <mergeCell ref="E155:E161"/>
    <mergeCell ref="D162:D168"/>
    <mergeCell ref="E163:E168"/>
    <mergeCell ref="A169:A207"/>
    <mergeCell ref="B169:C207"/>
    <mergeCell ref="D169:D175"/>
    <mergeCell ref="E169:E175"/>
    <mergeCell ref="D176:D183"/>
    <mergeCell ref="E176:E183"/>
    <mergeCell ref="D184:D191"/>
    <mergeCell ref="E184:E191"/>
    <mergeCell ref="D192:D199"/>
    <mergeCell ref="E192:E199"/>
    <mergeCell ref="D201:D207"/>
    <mergeCell ref="E201:E207"/>
    <mergeCell ref="A208:A214"/>
    <mergeCell ref="B208:C214"/>
    <mergeCell ref="M208:M213"/>
    <mergeCell ref="B215:C215"/>
    <mergeCell ref="B216:C216"/>
    <mergeCell ref="B217:C219"/>
    <mergeCell ref="B220:C220"/>
    <mergeCell ref="B221:C221"/>
    <mergeCell ref="A222:A232"/>
    <mergeCell ref="B222:C232"/>
    <mergeCell ref="M223:M232"/>
    <mergeCell ref="B510:B521"/>
    <mergeCell ref="A510:A521"/>
    <mergeCell ref="C289:C292"/>
    <mergeCell ref="L291:L292"/>
    <mergeCell ref="B413:B414"/>
    <mergeCell ref="C293:C296"/>
    <mergeCell ref="L293:L296"/>
    <mergeCell ref="C297:C304"/>
    <mergeCell ref="A233:A240"/>
    <mergeCell ref="B233:C240"/>
    <mergeCell ref="M233:M240"/>
    <mergeCell ref="A241:M241"/>
    <mergeCell ref="A242:M242"/>
    <mergeCell ref="A243:M243"/>
    <mergeCell ref="L314:L319"/>
    <mergeCell ref="C320:C326"/>
    <mergeCell ref="L322:L326"/>
    <mergeCell ref="A244:M244"/>
    <mergeCell ref="A245:A340"/>
    <mergeCell ref="B245:B277"/>
    <mergeCell ref="M245:M347"/>
    <mergeCell ref="L248:L253"/>
    <mergeCell ref="B278:B287"/>
    <mergeCell ref="L289:L290"/>
    <mergeCell ref="B338:B341"/>
    <mergeCell ref="D341:D342"/>
    <mergeCell ref="B342:B343"/>
    <mergeCell ref="L345:L346"/>
    <mergeCell ref="L297:L304"/>
    <mergeCell ref="C305:C307"/>
    <mergeCell ref="L305:L307"/>
    <mergeCell ref="L308:L312"/>
    <mergeCell ref="D345:D347"/>
    <mergeCell ref="C314:C319"/>
    <mergeCell ref="M348:M355"/>
    <mergeCell ref="B349:B363"/>
    <mergeCell ref="M356:M373"/>
    <mergeCell ref="C364:C366"/>
    <mergeCell ref="C330:C334"/>
    <mergeCell ref="L330:L333"/>
    <mergeCell ref="L364:L366"/>
    <mergeCell ref="C367:C368"/>
    <mergeCell ref="L367:L368"/>
    <mergeCell ref="B336:B337"/>
    <mergeCell ref="A390:A392"/>
    <mergeCell ref="B391:B392"/>
    <mergeCell ref="A393:A396"/>
    <mergeCell ref="B393:B396"/>
    <mergeCell ref="A343:A344"/>
    <mergeCell ref="D343:D344"/>
    <mergeCell ref="B346:B348"/>
    <mergeCell ref="A348:A373"/>
    <mergeCell ref="A345:A347"/>
    <mergeCell ref="M379:M380"/>
    <mergeCell ref="M382:M383"/>
    <mergeCell ref="A383:A385"/>
    <mergeCell ref="A426:A435"/>
    <mergeCell ref="M426:M496"/>
    <mergeCell ref="A437:A509"/>
    <mergeCell ref="D437:D444"/>
    <mergeCell ref="D445:D450"/>
    <mergeCell ref="M388:M389"/>
    <mergeCell ref="B415:B422"/>
    <mergeCell ref="M549:M556"/>
    <mergeCell ref="M584:M590"/>
    <mergeCell ref="D461:D470"/>
    <mergeCell ref="M497:M509"/>
    <mergeCell ref="A523:A537"/>
    <mergeCell ref="M523:M537"/>
    <mergeCell ref="B538:B545"/>
    <mergeCell ref="A546:J546"/>
    <mergeCell ref="A558:H558"/>
    <mergeCell ref="A549:A556"/>
    <mergeCell ref="L327:L328"/>
    <mergeCell ref="A559:F559"/>
    <mergeCell ref="I557:M557"/>
    <mergeCell ref="B409:B410"/>
    <mergeCell ref="A538:A545"/>
    <mergeCell ref="L538:L545"/>
    <mergeCell ref="M538:M545"/>
    <mergeCell ref="B523:B537"/>
    <mergeCell ref="C327:C328"/>
    <mergeCell ref="B426:B427"/>
    <mergeCell ref="C308:C313"/>
    <mergeCell ref="M568:M574"/>
    <mergeCell ref="B437:B509"/>
    <mergeCell ref="D451:D460"/>
    <mergeCell ref="L603:L622"/>
    <mergeCell ref="M603:M622"/>
    <mergeCell ref="M560:M566"/>
    <mergeCell ref="B595:B597"/>
    <mergeCell ref="B549:B556"/>
    <mergeCell ref="A557:H557"/>
    <mergeCell ref="L599:L601"/>
    <mergeCell ref="M599:M601"/>
    <mergeCell ref="M576:M582"/>
    <mergeCell ref="L584:L590"/>
    <mergeCell ref="A595:A597"/>
    <mergeCell ref="L595:L597"/>
    <mergeCell ref="M595:M597"/>
    <mergeCell ref="B599:B602"/>
    <mergeCell ref="A599:A602"/>
    <mergeCell ref="A423:D423"/>
    <mergeCell ref="A341:A342"/>
    <mergeCell ref="A374:A378"/>
    <mergeCell ref="B375:B379"/>
    <mergeCell ref="A379:A380"/>
    <mergeCell ref="B344:B345"/>
    <mergeCell ref="A407:A410"/>
    <mergeCell ref="A415:A422"/>
    <mergeCell ref="A397:A402"/>
    <mergeCell ref="B397:B402"/>
  </mergeCells>
  <printOptions/>
  <pageMargins left="0.1968503937007874" right="0.1968503937007874" top="0.2362204724409449" bottom="0.1968503937007874" header="0.2362204724409449" footer="0.1968503937007874"/>
  <pageSetup horizontalDpi="300" verticalDpi="300" orientation="landscape" paperSize="9" scale="42" r:id="rId3"/>
  <rowBreaks count="17" manualBreakCount="17">
    <brk id="35" max="12" man="1"/>
    <brk id="42" max="12" man="1"/>
    <brk id="72" max="12" man="1"/>
    <brk id="111" max="12" man="1"/>
    <brk id="157" max="12" man="1"/>
    <brk id="205" max="12" man="1"/>
    <brk id="229" max="12" man="1"/>
    <brk id="267" max="12" man="1"/>
    <brk id="302" max="12" man="1"/>
    <brk id="336" max="12" man="1"/>
    <brk id="379" max="12" man="1"/>
    <brk id="405" max="12" man="1"/>
    <brk id="439" max="12" man="1"/>
    <brk id="481" max="12" man="1"/>
    <brk id="523" max="12" man="1"/>
    <brk id="567" max="12" man="1"/>
    <brk id="62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Ю. Ретивова</dc:creator>
  <cp:keywords/>
  <dc:description/>
  <cp:lastModifiedBy>retivova_vyu</cp:lastModifiedBy>
  <cp:lastPrinted>2021-09-29T11:01:27Z</cp:lastPrinted>
  <dcterms:created xsi:type="dcterms:W3CDTF">2021-06-08T06:24:15Z</dcterms:created>
  <dcterms:modified xsi:type="dcterms:W3CDTF">2021-09-29T11:03:02Z</dcterms:modified>
  <cp:category/>
  <cp:version/>
  <cp:contentType/>
  <cp:contentStatus/>
</cp:coreProperties>
</file>