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КБУ на 2016 год    на 29,08" sheetId="1" r:id="rId1"/>
    <sheet name="КБУ на 2016 год    на 31,12" sheetId="2" r:id="rId2"/>
  </sheets>
  <definedNames>
    <definedName name="_xlnm.Print_Titles" localSheetId="0">'КБУ на 2016 год    на 29,08'!$5:$8</definedName>
    <definedName name="_xlnm.Print_Titles" localSheetId="1">'КБУ на 2016 год    на 31,12'!$5:$8</definedName>
    <definedName name="_xlnm.Print_Area" localSheetId="0">'КБУ на 2016 год    на 29,08'!$A$1:$I$362</definedName>
    <definedName name="_xlnm.Print_Area" localSheetId="1">'КБУ на 2016 год    на 31,12'!$A$1:$I$362</definedName>
  </definedNames>
  <calcPr fullCalcOnLoad="1"/>
</workbook>
</file>

<file path=xl/sharedStrings.xml><?xml version="1.0" encoding="utf-8"?>
<sst xmlns="http://schemas.openxmlformats.org/spreadsheetml/2006/main" count="852" uniqueCount="98">
  <si>
    <t>Наименование мероприятия</t>
  </si>
  <si>
    <t>Срок испол-нения</t>
  </si>
  <si>
    <t>Объем финан-сирования (тыс.руб.)</t>
  </si>
  <si>
    <t>Исполнители - ответственные за реализацию мероприятия</t>
  </si>
  <si>
    <t>Ожидаемые результаты от реализации мероприятия</t>
  </si>
  <si>
    <r>
      <t xml:space="preserve">Цель:         </t>
    </r>
    <r>
      <rPr>
        <b/>
        <sz val="13"/>
        <rFont val="Times New Roman"/>
        <family val="1"/>
      </rPr>
      <t>Повышение уровня комплексной безопасности образовательных учреждений</t>
    </r>
  </si>
  <si>
    <r>
      <t>Мероприятия</t>
    </r>
    <r>
      <rPr>
        <b/>
        <sz val="11"/>
        <rFont val="Times New Roman"/>
        <family val="1"/>
      </rPr>
      <t>:</t>
    </r>
  </si>
  <si>
    <t xml:space="preserve"> </t>
  </si>
  <si>
    <t>Мероприятия:</t>
  </si>
  <si>
    <t>МБОУ СОШ № 1</t>
  </si>
  <si>
    <t>МБОУ СОШ № 2</t>
  </si>
  <si>
    <t>МБДОУ ЦРР д/с  № 3</t>
  </si>
  <si>
    <t>МБДОУ ЦРР д/с  № 5</t>
  </si>
  <si>
    <t>МБОУ ДОД ЦВР «Лад»</t>
  </si>
  <si>
    <t>МБОУ «Начальная школа»</t>
  </si>
  <si>
    <t>МБДОУ ЦРР д/с № 6</t>
  </si>
  <si>
    <t>МБОУ "Начальная школа"</t>
  </si>
  <si>
    <t>МБДОУ ЦРР д/с № 5</t>
  </si>
  <si>
    <t>МБДОУ ЦРР д/с  № 6</t>
  </si>
  <si>
    <t>МБОУ Начальная школа</t>
  </si>
  <si>
    <t>МБДОУ ЦРР Д/с № 3</t>
  </si>
  <si>
    <t>МБДОУ ЦРР Д/с № 5</t>
  </si>
  <si>
    <t>МБДОУ ЦРР Д/с № 6</t>
  </si>
  <si>
    <t>МБОУ ЦВР Лад</t>
  </si>
  <si>
    <t>Проведение медицинского осмотра в образовательных учреждениях</t>
  </si>
  <si>
    <t xml:space="preserve">Обеспечение безопасности жизни и здоровья  при возникновении ЧС.  ст.14 ФЗ № 68-ФЗ от 21.12.1994 г. </t>
  </si>
  <si>
    <t xml:space="preserve">Содержание противопожарного водопровода в исправном состоянии, в соответствии Постановлением Правительства РФ от 25.04.2012 N 390
"О противопожарном режиме"
</t>
  </si>
  <si>
    <t xml:space="preserve">Обеспечение безопасности жизни и здоровья работников образовательных учреждений при возникновении ЧС в соответствии с  ст.14 ФЗ № 68-ФЗ от 21.12.1994 г. </t>
  </si>
  <si>
    <t xml:space="preserve">В соответствии с требованиями "СП 9.13130.2009. Свод правил. Техника пожарная.Огнетушители. Требования к эксплуатации", утвержденных Приказом МЧС РФ от 25.03.2009 N 179)
</t>
  </si>
  <si>
    <t>1.7. Плата за техническое обслуживание АПС, КЭВ, ПАК "Стрелец мониторинг"</t>
  </si>
  <si>
    <t xml:space="preserve">Содержание противопожарной системы здания и сооружений  в исправном состоянии, в соответствии Постановлением Правительства РФ от 25.04.2012 N 390 "О противопожарном режиме"
</t>
  </si>
  <si>
    <t>1.2. Абонентская плата за услугу прямой телефонной связи с пожарной частью</t>
  </si>
  <si>
    <t xml:space="preserve">Посредством наглядной агитации обучение правилам пожарной безопасности в соответствии с требованиями Федерального закона  от 21.12.1994 N 69-ФЗ
"О пожарной безопасности" </t>
  </si>
  <si>
    <t xml:space="preserve">В соответствии с Постановлением Главного государственного санитарного врача РФ от 29.12.2010 N 189 "Об утверждении СанПиН 2.4.2.2821-10 "Санитарно-эпидемиологические требования к условиям и организации обучения в общеобразовательных учреждениях"
</t>
  </si>
  <si>
    <t xml:space="preserve">Обеспечение антитеррористической защищенности </t>
  </si>
  <si>
    <t>1.4. Приобретение плакатов, стендов и методических пособий, предназначенных для противопожарной наглядной агитации; ламинирование планов эвакуации</t>
  </si>
  <si>
    <t>Обеспечение пожарной безопасности образовательных учреждений</t>
  </si>
  <si>
    <t>Субсидии, иные межбюджетные трансферты</t>
  </si>
  <si>
    <t>4.1. Проведение мед. осмотра сотрудников в целях обеспечения безопасности и охраны здоровья</t>
  </si>
  <si>
    <t>4.3.Приобретение пескосоляной смеси для посыпки территорий ОУ в зимний период с целью обеспечения безопасности</t>
  </si>
  <si>
    <t>В том числе:</t>
  </si>
  <si>
    <t>Другие собственные доходы</t>
  </si>
  <si>
    <t>Субвенции</t>
  </si>
  <si>
    <t>Внебюд-жетные средства</t>
  </si>
  <si>
    <t>МБДОУ ЦРР № 3,5</t>
  </si>
  <si>
    <t xml:space="preserve">1.3. Мероприятия, направленные на улучшение работы видеонаблюдения, установка системы контроля доспупа "Безопасная школа" (Приобретение средств индивидуальной защиты) </t>
  </si>
  <si>
    <t xml:space="preserve">1.5. Мероприятия, направленные на улучшение работы видеонаблюдения, установка системы контроля доспупа "Безопасная школа" (Оплата за проведение проверки работоспособности противопожарного водопровода)
</t>
  </si>
  <si>
    <t>1.6. Мероприятия, направленные на улучшение работы видеонаблюдения, установка системы контроля доспупа "Безопасная школа" (Перезарядка огнетушителей с истекшим сроком эксплуатации)</t>
  </si>
  <si>
    <t>1.8.Мероприятия, направленные на улучшение работы видеонаблюдения, установка системы контроля доспупа "Безопасная школа" (Плата за мониторинг радиосигнала, поступающего из ОУ на пульт пожарной части)</t>
  </si>
  <si>
    <t>2.2.  Мероприятия, направленные на улучшение работы видеонаблюдения, установка системы контроля доспупа "Безопасная школа" (Замер сопротивления изоляции электропроводки и состояния заземления)</t>
  </si>
  <si>
    <t>3.1. Мероприятия, направленные на улучшение работы видеонаблюдения, установка системы контроля доспупа "Безопасная школа" (Оплата охранных услуг с использованием тревожной сигнализации)</t>
  </si>
  <si>
    <t>3.2. Мероприятия, направленные на улучшение работы видеонаблюдения, установка системы контроля доспупа "Безопасная школа" (Плата за техническое обслуживание системы видеонаблюдения, домофонов)</t>
  </si>
  <si>
    <t>2.3. Мероприятия, направленные на улучшение работы видеонаблюдения, установка системы контроля доспупа "Безопасная школа" (Приобретение  спортивных и игровых форм для образовательных учреждений (демонтаж и установка))</t>
  </si>
  <si>
    <t>Собственные доходы</t>
  </si>
  <si>
    <t>2.4. Подготовка к поверке и поверка приборов учета тепловой энергии и воды</t>
  </si>
  <si>
    <t>МБОУ СОШ №1</t>
  </si>
  <si>
    <t>МБОУ СОШ №2</t>
  </si>
  <si>
    <t>3.3. Мероприятия, направленные на улучшение работы видеонаблюдения, установка системы контроля доспупа "Безопасная школа" (Оплата мероприятий, направленных на улучшение работы и качества съемки видеонаблюдения, установка домофонов и турникетов в образовательных учреждениях)</t>
  </si>
  <si>
    <t>МБДОУ ЦРР д/с №3</t>
  </si>
  <si>
    <t>2.5. Регулировка (поверка) газовых котлов в котельной</t>
  </si>
  <si>
    <t xml:space="preserve">Раздел 7.  Мероприятия муниципальной подпрограммы </t>
  </si>
  <si>
    <t>СОШ1</t>
  </si>
  <si>
    <t>СОШ2</t>
  </si>
  <si>
    <t>Н.шк.</t>
  </si>
  <si>
    <t>Д/С3</t>
  </si>
  <si>
    <t>Д/С5</t>
  </si>
  <si>
    <t>Д/С6</t>
  </si>
  <si>
    <t>ЦВР</t>
  </si>
  <si>
    <t>3.5. Оснащение пунктов проведения экзаменов сиситемами видеонаблюдения при проведении государственной итоговой аттестации в образовательных организациях</t>
  </si>
  <si>
    <t>раздел1</t>
  </si>
  <si>
    <t>раздел2</t>
  </si>
  <si>
    <t>раздел 3</t>
  </si>
  <si>
    <t>раздел 4</t>
  </si>
  <si>
    <t>кбу 2016</t>
  </si>
  <si>
    <t xml:space="preserve">Замена устаревших первичных средств с истекшим сроком эксплуатации в ОУ. Замена вышедших из строя пожарных извещателей.    </t>
  </si>
  <si>
    <t>1. Пожарная безопасность</t>
  </si>
  <si>
    <t>2. Техническая безопасность</t>
  </si>
  <si>
    <t>3. Антитеррористическая безопасность</t>
  </si>
  <si>
    <t>1.9. Испытание наружных лестниц, обработка огнезащитным составом деревянных конструкций</t>
  </si>
  <si>
    <t>Цель:         Повышение уровня технической  безопасности образовательных учреждений</t>
  </si>
  <si>
    <t>Цель:         Повышение уровня антитеррористической  безопасности образовательных учреждений</t>
  </si>
  <si>
    <t>Задача :    Улучшение качества  технической безопасности</t>
  </si>
  <si>
    <r>
      <t xml:space="preserve">  Задача:    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Улучщение качества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пожарной безопасности</t>
    </r>
  </si>
  <si>
    <r>
      <t xml:space="preserve">3. Задача:        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Улучшение качества </t>
    </r>
    <r>
      <rPr>
        <sz val="12"/>
        <rFont val="Times New Roman"/>
        <family val="1"/>
      </rPr>
      <t>а</t>
    </r>
    <r>
      <rPr>
        <b/>
        <sz val="12"/>
        <rFont val="Times New Roman"/>
        <family val="1"/>
      </rPr>
      <t>нтитеррористической  безопасности:</t>
    </r>
  </si>
  <si>
    <r>
      <t xml:space="preserve">3. Задача:        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Улучшение качества технической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безопасности:</t>
    </r>
  </si>
  <si>
    <t>МБДОУ ЦРР д/с № 3</t>
  </si>
  <si>
    <t>2.6. Аварийно- спасательные работы в случае ЧС,монтаж и демонтаж насоса в газовой котельной</t>
  </si>
  <si>
    <t>4. Безопасность труда и обучение</t>
  </si>
  <si>
    <t>3.4. Ремонт кабинета домоводства и бассейна с целью обеспечения выполнения требований санитарно-бытовым условиям и охране здоровья обучающихся, установка дверей на запасном выходе</t>
  </si>
  <si>
    <t>1.1.  Мероприятия, направленные на улучшение работы видеонаблюдения, установка системы контроля доспупа "Безопасная школа" (Приобретение первичных средств пожаротушения  по образовательным учреждениям (рукава,извещатели, наконечники, огнетушители с истекшим сроком эсплуатации, шкафы пожарных кранов)</t>
  </si>
  <si>
    <t>1.10. Вывоз мусора (списанной учебной мебели и оборудования) механизированным способом из подвального помещения с целью проведения меропиятий по пожарной безопасности, демонтаж плиточного покрытия для бесприпятственного выхода из центрального входа</t>
  </si>
  <si>
    <t>школы</t>
  </si>
  <si>
    <t>4.2.Мероприятия, направленные на улучшение работы видеонаблюдения, установка системы контроля доспупа "Безопасная школа" (Аттестация рабочих мест, обучение сотрудников по электробезопасности, охране труда, оказанию первой медицинской помощи и др.)</t>
  </si>
  <si>
    <t>2014-2016 г.г.</t>
  </si>
  <si>
    <t>Итого по подпрограмме:</t>
  </si>
  <si>
    <t xml:space="preserve">2.1. Мероприятия, направленные на улучшение работы видеонаблюдения, установка системы контроля доспупа "Безопасная школа" (Утилизация неисправных, перегореших люминисцентных ламп и компьютерного оборудования, установка автоматического звонка) </t>
  </si>
  <si>
    <t>Приложение № 3 к постановлению администрации ЗАТО г.Радужный Владимирской области от 13.09. 2016 г. № 1364</t>
  </si>
  <si>
    <t>Приложение № 3 к постановлению администрации ЗАТО г.Радужный Владимирской области от  29.12.2016 г. № 2115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</si>
</sst>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"/>
    <numFmt numFmtId="173" formatCode="0.0000000"/>
  </numFmts>
  <fonts count="68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yr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0"/>
      <color indexed="10"/>
      <name val="Arial Cyr"/>
      <family val="2"/>
    </font>
    <font>
      <sz val="11"/>
      <color indexed="10"/>
      <name val="Times New Roman"/>
      <family val="1"/>
    </font>
    <font>
      <b/>
      <sz val="20"/>
      <name val="Arial Cyr"/>
      <family val="2"/>
    </font>
    <font>
      <b/>
      <sz val="11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4"/>
      <color indexed="10"/>
      <name val="Arial Cyr"/>
      <family val="2"/>
    </font>
    <font>
      <b/>
      <sz val="16"/>
      <name val="Times New Roman"/>
      <family val="1"/>
    </font>
    <font>
      <sz val="1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Arial Cyr"/>
      <family val="2"/>
    </font>
    <font>
      <sz val="14"/>
      <color rgb="FFFF0000"/>
      <name val="Arial Cyr"/>
      <family val="2"/>
    </font>
    <font>
      <sz val="12"/>
      <color rgb="FFFF00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justify" vertical="top" wrapText="1"/>
    </xf>
    <xf numFmtId="167" fontId="8" fillId="33" borderId="10" xfId="0" applyNumberFormat="1" applyFont="1" applyFill="1" applyBorder="1" applyAlignment="1">
      <alignment horizontal="center" vertical="top" wrapText="1"/>
    </xf>
    <xf numFmtId="165" fontId="12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167" fontId="7" fillId="33" borderId="10" xfId="0" applyNumberFormat="1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justify" vertical="top" wrapText="1"/>
    </xf>
    <xf numFmtId="0" fontId="12" fillId="0" borderId="0" xfId="0" applyFont="1" applyAlignment="1">
      <alignment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64" fontId="8" fillId="33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67" fontId="8" fillId="34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166" fontId="8" fillId="33" borderId="10" xfId="0" applyNumberFormat="1" applyFont="1" applyFill="1" applyBorder="1" applyAlignment="1">
      <alignment horizontal="center" vertical="top" wrapText="1"/>
    </xf>
    <xf numFmtId="167" fontId="7" fillId="0" borderId="10" xfId="0" applyNumberFormat="1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167" fontId="9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67" fontId="7" fillId="33" borderId="11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167" fontId="7" fillId="33" borderId="12" xfId="0" applyNumberFormat="1" applyFont="1" applyFill="1" applyBorder="1" applyAlignment="1">
      <alignment horizontal="center" vertical="top" wrapText="1"/>
    </xf>
    <xf numFmtId="167" fontId="7" fillId="33" borderId="13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33" borderId="13" xfId="0" applyFont="1" applyFill="1" applyBorder="1" applyAlignment="1">
      <alignment vertical="top" wrapText="1"/>
    </xf>
    <xf numFmtId="2" fontId="8" fillId="33" borderId="10" xfId="0" applyNumberFormat="1" applyFont="1" applyFill="1" applyBorder="1" applyAlignment="1">
      <alignment horizontal="center" vertical="top" wrapText="1"/>
    </xf>
    <xf numFmtId="167" fontId="16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2" fontId="8" fillId="33" borderId="10" xfId="0" applyNumberFormat="1" applyFont="1" applyFill="1" applyBorder="1" applyAlignment="1">
      <alignment vertical="top" wrapText="1"/>
    </xf>
    <xf numFmtId="2" fontId="8" fillId="33" borderId="10" xfId="0" applyNumberFormat="1" applyFont="1" applyFill="1" applyBorder="1" applyAlignment="1">
      <alignment horizontal="justify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13" fillId="33" borderId="10" xfId="0" applyNumberFormat="1" applyFont="1" applyFill="1" applyBorder="1" applyAlignment="1">
      <alignment horizontal="justify" vertical="top" wrapText="1"/>
    </xf>
    <xf numFmtId="2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167" fontId="8" fillId="33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center" vertical="top" wrapText="1"/>
    </xf>
    <xf numFmtId="166" fontId="7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166" fontId="9" fillId="0" borderId="0" xfId="0" applyNumberFormat="1" applyFont="1" applyAlignment="1">
      <alignment/>
    </xf>
    <xf numFmtId="0" fontId="7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166" fontId="7" fillId="33" borderId="10" xfId="0" applyNumberFormat="1" applyFont="1" applyFill="1" applyBorder="1" applyAlignment="1">
      <alignment horizontal="center" vertical="top" wrapText="1"/>
    </xf>
    <xf numFmtId="166" fontId="15" fillId="33" borderId="10" xfId="0" applyNumberFormat="1" applyFont="1" applyFill="1" applyBorder="1" applyAlignment="1">
      <alignment horizontal="center" vertical="center"/>
    </xf>
    <xf numFmtId="167" fontId="9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2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2" fontId="20" fillId="0" borderId="0" xfId="0" applyNumberFormat="1" applyFont="1" applyAlignment="1">
      <alignment horizontal="center"/>
    </xf>
    <xf numFmtId="167" fontId="20" fillId="0" borderId="0" xfId="0" applyNumberFormat="1" applyFont="1" applyAlignment="1">
      <alignment/>
    </xf>
    <xf numFmtId="0" fontId="21" fillId="0" borderId="0" xfId="0" applyFont="1" applyAlignment="1">
      <alignment/>
    </xf>
    <xf numFmtId="167" fontId="63" fillId="33" borderId="11" xfId="0" applyNumberFormat="1" applyFont="1" applyFill="1" applyBorder="1" applyAlignment="1">
      <alignment horizontal="center" vertical="top" wrapText="1"/>
    </xf>
    <xf numFmtId="2" fontId="64" fillId="33" borderId="10" xfId="0" applyNumberFormat="1" applyFont="1" applyFill="1" applyBorder="1" applyAlignment="1">
      <alignment horizontal="center" vertical="top" wrapText="1"/>
    </xf>
    <xf numFmtId="167" fontId="64" fillId="33" borderId="10" xfId="0" applyNumberFormat="1" applyFont="1" applyFill="1" applyBorder="1" applyAlignment="1">
      <alignment horizontal="center" vertical="top" wrapText="1"/>
    </xf>
    <xf numFmtId="167" fontId="63" fillId="33" borderId="12" xfId="0" applyNumberFormat="1" applyFont="1" applyFill="1" applyBorder="1" applyAlignment="1">
      <alignment horizontal="center" vertical="top" wrapText="1"/>
    </xf>
    <xf numFmtId="167" fontId="63" fillId="33" borderId="13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6" fontId="8" fillId="35" borderId="10" xfId="0" applyNumberFormat="1" applyFont="1" applyFill="1" applyBorder="1" applyAlignment="1">
      <alignment horizontal="center" vertical="top" wrapText="1"/>
    </xf>
    <xf numFmtId="167" fontId="8" fillId="35" borderId="10" xfId="0" applyNumberFormat="1" applyFont="1" applyFill="1" applyBorder="1" applyAlignment="1">
      <alignment horizontal="center" vertical="top" wrapText="1"/>
    </xf>
    <xf numFmtId="167" fontId="8" fillId="36" borderId="10" xfId="0" applyNumberFormat="1" applyFont="1" applyFill="1" applyBorder="1" applyAlignment="1">
      <alignment horizontal="center" vertical="top" wrapText="1"/>
    </xf>
    <xf numFmtId="167" fontId="15" fillId="0" borderId="10" xfId="0" applyNumberFormat="1" applyFont="1" applyBorder="1" applyAlignment="1">
      <alignment horizontal="center" vertical="center"/>
    </xf>
    <xf numFmtId="166" fontId="9" fillId="35" borderId="0" xfId="0" applyNumberFormat="1" applyFont="1" applyFill="1" applyAlignment="1">
      <alignment/>
    </xf>
    <xf numFmtId="167" fontId="7" fillId="35" borderId="10" xfId="0" applyNumberFormat="1" applyFont="1" applyFill="1" applyBorder="1" applyAlignment="1">
      <alignment horizontal="center" vertical="top" wrapText="1"/>
    </xf>
    <xf numFmtId="2" fontId="0" fillId="35" borderId="10" xfId="0" applyNumberForma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left" vertical="top" wrapText="1"/>
    </xf>
    <xf numFmtId="165" fontId="2" fillId="0" borderId="0" xfId="0" applyNumberFormat="1" applyFont="1" applyBorder="1" applyAlignment="1">
      <alignment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167" fontId="8" fillId="33" borderId="0" xfId="0" applyNumberFormat="1" applyFont="1" applyFill="1" applyBorder="1" applyAlignment="1">
      <alignment horizontal="center" vertical="top" wrapText="1"/>
    </xf>
    <xf numFmtId="2" fontId="13" fillId="33" borderId="11" xfId="0" applyNumberFormat="1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justify" vertical="top" wrapText="1"/>
    </xf>
    <xf numFmtId="2" fontId="2" fillId="37" borderId="10" xfId="0" applyNumberFormat="1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center"/>
    </xf>
    <xf numFmtId="167" fontId="0" fillId="35" borderId="10" xfId="0" applyNumberForma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167" fontId="2" fillId="35" borderId="10" xfId="0" applyNumberFormat="1" applyFont="1" applyFill="1" applyBorder="1" applyAlignment="1">
      <alignment/>
    </xf>
    <xf numFmtId="167" fontId="9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166" fontId="0" fillId="35" borderId="10" xfId="0" applyNumberForma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165" fontId="65" fillId="35" borderId="10" xfId="0" applyNumberFormat="1" applyFont="1" applyFill="1" applyBorder="1" applyAlignment="1">
      <alignment/>
    </xf>
    <xf numFmtId="0" fontId="0" fillId="37" borderId="10" xfId="0" applyFill="1" applyBorder="1" applyAlignment="1">
      <alignment/>
    </xf>
    <xf numFmtId="167" fontId="9" fillId="37" borderId="10" xfId="0" applyNumberFormat="1" applyFont="1" applyFill="1" applyBorder="1" applyAlignment="1">
      <alignment/>
    </xf>
    <xf numFmtId="0" fontId="24" fillId="0" borderId="0" xfId="0" applyFont="1" applyAlignment="1">
      <alignment/>
    </xf>
    <xf numFmtId="166" fontId="64" fillId="33" borderId="10" xfId="0" applyNumberFormat="1" applyFont="1" applyFill="1" applyBorder="1" applyAlignment="1">
      <alignment horizontal="center" vertical="top" wrapText="1"/>
    </xf>
    <xf numFmtId="165" fontId="2" fillId="35" borderId="10" xfId="0" applyNumberFormat="1" applyFont="1" applyFill="1" applyBorder="1" applyAlignment="1">
      <alignment/>
    </xf>
    <xf numFmtId="166" fontId="2" fillId="37" borderId="10" xfId="0" applyNumberFormat="1" applyFont="1" applyFill="1" applyBorder="1" applyAlignment="1">
      <alignment/>
    </xf>
    <xf numFmtId="166" fontId="7" fillId="35" borderId="10" xfId="0" applyNumberFormat="1" applyFont="1" applyFill="1" applyBorder="1" applyAlignment="1">
      <alignment horizontal="center" vertical="top" wrapText="1"/>
    </xf>
    <xf numFmtId="167" fontId="66" fillId="35" borderId="10" xfId="0" applyNumberFormat="1" applyFont="1" applyFill="1" applyBorder="1" applyAlignment="1">
      <alignment/>
    </xf>
    <xf numFmtId="166" fontId="7" fillId="35" borderId="10" xfId="0" applyNumberFormat="1" applyFont="1" applyFill="1" applyBorder="1" applyAlignment="1">
      <alignment horizontal="center" vertical="top" wrapText="1"/>
    </xf>
    <xf numFmtId="165" fontId="7" fillId="33" borderId="12" xfId="0" applyNumberFormat="1" applyFont="1" applyFill="1" applyBorder="1" applyAlignment="1">
      <alignment horizontal="center" vertical="top" wrapText="1"/>
    </xf>
    <xf numFmtId="166" fontId="8" fillId="34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167" fontId="63" fillId="33" borderId="11" xfId="0" applyNumberFormat="1" applyFont="1" applyFill="1" applyBorder="1" applyAlignment="1">
      <alignment horizontal="center" vertical="top" wrapText="1"/>
    </xf>
    <xf numFmtId="167" fontId="63" fillId="33" borderId="12" xfId="0" applyNumberFormat="1" applyFont="1" applyFill="1" applyBorder="1" applyAlignment="1">
      <alignment horizontal="center" vertical="top" wrapText="1"/>
    </xf>
    <xf numFmtId="167" fontId="63" fillId="33" borderId="13" xfId="0" applyNumberFormat="1" applyFont="1" applyFill="1" applyBorder="1" applyAlignment="1">
      <alignment horizontal="center" vertical="top" wrapText="1"/>
    </xf>
    <xf numFmtId="167" fontId="7" fillId="35" borderId="10" xfId="0" applyNumberFormat="1" applyFont="1" applyFill="1" applyBorder="1" applyAlignment="1">
      <alignment horizontal="center" vertical="top" wrapText="1"/>
    </xf>
    <xf numFmtId="166" fontId="7" fillId="35" borderId="10" xfId="0" applyNumberFormat="1" applyFont="1" applyFill="1" applyBorder="1" applyAlignment="1">
      <alignment horizontal="center" vertical="top" wrapText="1"/>
    </xf>
    <xf numFmtId="166" fontId="7" fillId="33" borderId="12" xfId="0" applyNumberFormat="1" applyFont="1" applyFill="1" applyBorder="1" applyAlignment="1">
      <alignment horizontal="center" vertical="top" wrapText="1"/>
    </xf>
    <xf numFmtId="166" fontId="2" fillId="37" borderId="10" xfId="0" applyNumberFormat="1" applyFont="1" applyFill="1" applyBorder="1" applyAlignment="1">
      <alignment horizontal="center"/>
    </xf>
    <xf numFmtId="166" fontId="9" fillId="37" borderId="10" xfId="0" applyNumberFormat="1" applyFont="1" applyFill="1" applyBorder="1" applyAlignment="1">
      <alignment/>
    </xf>
    <xf numFmtId="166" fontId="15" fillId="0" borderId="0" xfId="0" applyNumberFormat="1" applyFont="1" applyAlignment="1">
      <alignment/>
    </xf>
    <xf numFmtId="166" fontId="67" fillId="0" borderId="0" xfId="0" applyNumberFormat="1" applyFont="1" applyAlignment="1">
      <alignment/>
    </xf>
    <xf numFmtId="172" fontId="67" fillId="0" borderId="0" xfId="0" applyNumberFormat="1" applyFont="1" applyAlignment="1">
      <alignment/>
    </xf>
    <xf numFmtId="172" fontId="67" fillId="0" borderId="0" xfId="0" applyNumberFormat="1" applyFont="1" applyBorder="1" applyAlignment="1">
      <alignment/>
    </xf>
    <xf numFmtId="172" fontId="7" fillId="33" borderId="11" xfId="0" applyNumberFormat="1" applyFont="1" applyFill="1" applyBorder="1" applyAlignment="1">
      <alignment horizontal="center" vertical="top" wrapText="1"/>
    </xf>
    <xf numFmtId="172" fontId="7" fillId="33" borderId="12" xfId="0" applyNumberFormat="1" applyFont="1" applyFill="1" applyBorder="1" applyAlignment="1">
      <alignment horizontal="center" vertical="top" wrapText="1"/>
    </xf>
    <xf numFmtId="172" fontId="7" fillId="33" borderId="13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166" fontId="7" fillId="33" borderId="11" xfId="0" applyNumberFormat="1" applyFont="1" applyFill="1" applyBorder="1" applyAlignment="1">
      <alignment horizontal="center" vertical="top" wrapText="1"/>
    </xf>
    <xf numFmtId="166" fontId="7" fillId="33" borderId="12" xfId="0" applyNumberFormat="1" applyFont="1" applyFill="1" applyBorder="1" applyAlignment="1">
      <alignment horizontal="center" vertical="top" wrapText="1"/>
    </xf>
    <xf numFmtId="166" fontId="7" fillId="33" borderId="13" xfId="0" applyNumberFormat="1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top" wrapText="1"/>
    </xf>
    <xf numFmtId="167" fontId="7" fillId="33" borderId="11" xfId="0" applyNumberFormat="1" applyFont="1" applyFill="1" applyBorder="1" applyAlignment="1">
      <alignment horizontal="center" vertical="top" wrapText="1"/>
    </xf>
    <xf numFmtId="167" fontId="7" fillId="33" borderId="12" xfId="0" applyNumberFormat="1" applyFont="1" applyFill="1" applyBorder="1" applyAlignment="1">
      <alignment horizontal="center" vertical="top" wrapText="1"/>
    </xf>
    <xf numFmtId="167" fontId="7" fillId="33" borderId="13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166" fontId="7" fillId="35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167" fontId="7" fillId="35" borderId="10" xfId="0" applyNumberFormat="1" applyFont="1" applyFill="1" applyBorder="1" applyAlignment="1">
      <alignment horizontal="center" vertical="top" wrapText="1"/>
    </xf>
    <xf numFmtId="165" fontId="7" fillId="33" borderId="11" xfId="0" applyNumberFormat="1" applyFont="1" applyFill="1" applyBorder="1" applyAlignment="1">
      <alignment horizontal="center" vertical="top" wrapText="1"/>
    </xf>
    <xf numFmtId="165" fontId="7" fillId="33" borderId="12" xfId="0" applyNumberFormat="1" applyFont="1" applyFill="1" applyBorder="1" applyAlignment="1">
      <alignment horizontal="center" vertical="top" wrapText="1"/>
    </xf>
    <xf numFmtId="165" fontId="7" fillId="33" borderId="13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justify" vertical="top" wrapText="1"/>
    </xf>
    <xf numFmtId="0" fontId="5" fillId="33" borderId="15" xfId="0" applyFont="1" applyFill="1" applyBorder="1" applyAlignment="1">
      <alignment horizontal="justify" vertical="top" wrapText="1"/>
    </xf>
    <xf numFmtId="0" fontId="5" fillId="33" borderId="16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 horizontal="center" vertical="top" wrapText="1"/>
    </xf>
    <xf numFmtId="167" fontId="63" fillId="33" borderId="11" xfId="0" applyNumberFormat="1" applyFont="1" applyFill="1" applyBorder="1" applyAlignment="1">
      <alignment horizontal="center" vertical="top" wrapText="1"/>
    </xf>
    <xf numFmtId="167" fontId="63" fillId="33" borderId="12" xfId="0" applyNumberFormat="1" applyFont="1" applyFill="1" applyBorder="1" applyAlignment="1">
      <alignment horizontal="center" vertical="top" wrapText="1"/>
    </xf>
    <xf numFmtId="167" fontId="63" fillId="33" borderId="13" xfId="0" applyNumberFormat="1" applyFont="1" applyFill="1" applyBorder="1" applyAlignment="1">
      <alignment horizontal="center" vertical="top" wrapText="1"/>
    </xf>
    <xf numFmtId="0" fontId="23" fillId="33" borderId="14" xfId="0" applyFont="1" applyFill="1" applyBorder="1" applyAlignment="1">
      <alignment horizontal="center" vertical="top" wrapText="1"/>
    </xf>
    <xf numFmtId="0" fontId="23" fillId="33" borderId="15" xfId="0" applyFont="1" applyFill="1" applyBorder="1" applyAlignment="1">
      <alignment horizontal="center" vertical="top" wrapText="1"/>
    </xf>
    <xf numFmtId="0" fontId="23" fillId="33" borderId="16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167" fontId="8" fillId="33" borderId="11" xfId="0" applyNumberFormat="1" applyFont="1" applyFill="1" applyBorder="1" applyAlignment="1">
      <alignment horizontal="center" vertical="top" wrapText="1"/>
    </xf>
    <xf numFmtId="167" fontId="8" fillId="33" borderId="13" xfId="0" applyNumberFormat="1" applyFont="1" applyFill="1" applyBorder="1" applyAlignment="1">
      <alignment horizontal="center" vertical="top" wrapText="1"/>
    </xf>
    <xf numFmtId="2" fontId="8" fillId="33" borderId="11" xfId="0" applyNumberFormat="1" applyFont="1" applyFill="1" applyBorder="1" applyAlignment="1">
      <alignment horizontal="center" vertical="top" wrapText="1"/>
    </xf>
    <xf numFmtId="2" fontId="8" fillId="33" borderId="12" xfId="0" applyNumberFormat="1" applyFont="1" applyFill="1" applyBorder="1" applyAlignment="1">
      <alignment horizontal="center" vertical="top" wrapText="1"/>
    </xf>
    <xf numFmtId="2" fontId="8" fillId="33" borderId="13" xfId="0" applyNumberFormat="1" applyFont="1" applyFill="1" applyBorder="1" applyAlignment="1">
      <alignment horizontal="center" vertical="top" wrapText="1"/>
    </xf>
    <xf numFmtId="167" fontId="8" fillId="33" borderId="12" xfId="0" applyNumberFormat="1" applyFont="1" applyFill="1" applyBorder="1" applyAlignment="1">
      <alignment horizontal="center" vertical="top" wrapText="1"/>
    </xf>
    <xf numFmtId="165" fontId="63" fillId="33" borderId="11" xfId="0" applyNumberFormat="1" applyFont="1" applyFill="1" applyBorder="1" applyAlignment="1">
      <alignment horizontal="center" vertical="top" wrapText="1"/>
    </xf>
    <xf numFmtId="165" fontId="63" fillId="33" borderId="12" xfId="0" applyNumberFormat="1" applyFont="1" applyFill="1" applyBorder="1" applyAlignment="1">
      <alignment horizontal="center" vertical="top" wrapText="1"/>
    </xf>
    <xf numFmtId="165" fontId="63" fillId="33" borderId="13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1"/>
  <sheetViews>
    <sheetView zoomScale="75" zoomScaleNormal="75" zoomScaleSheetLayoutView="75" workbookViewId="0" topLeftCell="A364">
      <selection activeCell="H378" sqref="H378"/>
    </sheetView>
  </sheetViews>
  <sheetFormatPr defaultColWidth="9.00390625" defaultRowHeight="12.75"/>
  <cols>
    <col min="1" max="1" width="28.25390625" style="0" customWidth="1"/>
    <col min="2" max="2" width="15.875" style="0" customWidth="1"/>
    <col min="3" max="3" width="13.375" style="0" customWidth="1"/>
    <col min="4" max="4" width="16.75390625" style="0" customWidth="1"/>
    <col min="5" max="5" width="13.375" style="2" customWidth="1"/>
    <col min="6" max="6" width="16.125" style="0" customWidth="1"/>
    <col min="7" max="7" width="15.00390625" style="0" customWidth="1"/>
    <col min="8" max="8" width="33.75390625" style="0" customWidth="1"/>
    <col min="9" max="9" width="43.125" style="0" customWidth="1"/>
    <col min="10" max="10" width="11.375" style="0" customWidth="1"/>
    <col min="11" max="11" width="17.875" style="0" customWidth="1"/>
  </cols>
  <sheetData>
    <row r="1" spans="3:11" ht="21" customHeight="1">
      <c r="C1" s="134" t="s">
        <v>96</v>
      </c>
      <c r="D1" s="134"/>
      <c r="E1" s="134"/>
      <c r="F1" s="134"/>
      <c r="G1" s="134"/>
      <c r="H1" s="134"/>
      <c r="I1" s="134"/>
      <c r="J1" s="47"/>
      <c r="K1" s="46"/>
    </row>
    <row r="2" spans="8:9" ht="15">
      <c r="H2" s="29"/>
      <c r="I2" s="30"/>
    </row>
    <row r="3" spans="1:9" ht="28.5" customHeight="1">
      <c r="A3" s="163" t="s">
        <v>60</v>
      </c>
      <c r="B3" s="163"/>
      <c r="C3" s="163"/>
      <c r="D3" s="163"/>
      <c r="E3" s="163"/>
      <c r="F3" s="163"/>
      <c r="G3" s="163"/>
      <c r="H3" s="163"/>
      <c r="I3" s="163"/>
    </row>
    <row r="5" spans="1:9" ht="15" customHeight="1">
      <c r="A5" s="164" t="s">
        <v>0</v>
      </c>
      <c r="B5" s="164" t="s">
        <v>1</v>
      </c>
      <c r="C5" s="164" t="s">
        <v>2</v>
      </c>
      <c r="D5" s="165" t="s">
        <v>40</v>
      </c>
      <c r="E5" s="166"/>
      <c r="F5" s="166"/>
      <c r="G5" s="167"/>
      <c r="H5" s="164" t="s">
        <v>3</v>
      </c>
      <c r="I5" s="164" t="s">
        <v>4</v>
      </c>
    </row>
    <row r="6" spans="1:9" ht="15.75" customHeight="1">
      <c r="A6" s="164"/>
      <c r="B6" s="164"/>
      <c r="C6" s="164"/>
      <c r="D6" s="168" t="s">
        <v>42</v>
      </c>
      <c r="E6" s="165" t="s">
        <v>53</v>
      </c>
      <c r="F6" s="167"/>
      <c r="G6" s="168" t="s">
        <v>43</v>
      </c>
      <c r="H6" s="164"/>
      <c r="I6" s="164"/>
    </row>
    <row r="7" spans="1:9" ht="86.25" customHeight="1">
      <c r="A7" s="164"/>
      <c r="B7" s="164"/>
      <c r="C7" s="164"/>
      <c r="D7" s="169"/>
      <c r="E7" s="43" t="s">
        <v>37</v>
      </c>
      <c r="F7" s="36" t="s">
        <v>41</v>
      </c>
      <c r="G7" s="169"/>
      <c r="H7" s="164"/>
      <c r="I7" s="164"/>
    </row>
    <row r="8" spans="1:9" ht="12.75">
      <c r="A8" s="18">
        <v>1</v>
      </c>
      <c r="B8" s="18">
        <v>2</v>
      </c>
      <c r="C8" s="18">
        <v>3</v>
      </c>
      <c r="D8" s="18">
        <v>4</v>
      </c>
      <c r="E8" s="49">
        <v>5</v>
      </c>
      <c r="F8" s="18">
        <v>6</v>
      </c>
      <c r="G8" s="18">
        <v>7</v>
      </c>
      <c r="H8" s="18">
        <v>8</v>
      </c>
      <c r="I8" s="18">
        <v>9</v>
      </c>
    </row>
    <row r="9" spans="1:9" ht="22.5" customHeight="1">
      <c r="A9" s="170" t="s">
        <v>75</v>
      </c>
      <c r="B9" s="171"/>
      <c r="C9" s="171"/>
      <c r="D9" s="171"/>
      <c r="E9" s="171"/>
      <c r="F9" s="171"/>
      <c r="G9" s="171"/>
      <c r="H9" s="171"/>
      <c r="I9" s="172"/>
    </row>
    <row r="10" spans="1:9" ht="16.5" customHeight="1">
      <c r="A10" s="162" t="s">
        <v>5</v>
      </c>
      <c r="B10" s="162"/>
      <c r="C10" s="162"/>
      <c r="D10" s="162"/>
      <c r="E10" s="162"/>
      <c r="F10" s="162"/>
      <c r="G10" s="162"/>
      <c r="H10" s="162"/>
      <c r="I10" s="162"/>
    </row>
    <row r="11" spans="1:9" ht="15.75" customHeight="1">
      <c r="A11" s="139" t="s">
        <v>82</v>
      </c>
      <c r="B11" s="140"/>
      <c r="C11" s="140"/>
      <c r="D11" s="140"/>
      <c r="E11" s="140"/>
      <c r="F11" s="140"/>
      <c r="G11" s="140"/>
      <c r="H11" s="140"/>
      <c r="I11" s="141"/>
    </row>
    <row r="12" spans="1:9" ht="15.75" customHeight="1">
      <c r="A12" s="136" t="s">
        <v>6</v>
      </c>
      <c r="B12" s="137"/>
      <c r="C12" s="137"/>
      <c r="D12" s="137"/>
      <c r="E12" s="137"/>
      <c r="F12" s="137"/>
      <c r="G12" s="137"/>
      <c r="H12" s="137"/>
      <c r="I12" s="138"/>
    </row>
    <row r="13" spans="1:9" ht="15" customHeight="1">
      <c r="A13" s="131" t="s">
        <v>89</v>
      </c>
      <c r="B13" s="151">
        <v>2014</v>
      </c>
      <c r="C13" s="142">
        <f>F13+F14+F15+F16+F17+F18+F19+E13+E14+E15+E16+E17+E18+E19</f>
        <v>84.714</v>
      </c>
      <c r="D13" s="31"/>
      <c r="E13" s="6">
        <v>15</v>
      </c>
      <c r="F13" s="19">
        <v>0</v>
      </c>
      <c r="G13" s="14"/>
      <c r="H13" s="4" t="s">
        <v>9</v>
      </c>
      <c r="I13" s="145" t="s">
        <v>74</v>
      </c>
    </row>
    <row r="14" spans="1:10" ht="15" customHeight="1">
      <c r="A14" s="132"/>
      <c r="B14" s="152"/>
      <c r="C14" s="143"/>
      <c r="D14" s="34"/>
      <c r="E14" s="6">
        <v>0</v>
      </c>
      <c r="F14" s="6">
        <v>0</v>
      </c>
      <c r="G14" s="5" t="s">
        <v>7</v>
      </c>
      <c r="H14" s="4" t="s">
        <v>10</v>
      </c>
      <c r="I14" s="146"/>
      <c r="J14" s="72"/>
    </row>
    <row r="15" spans="1:10" ht="16.5" customHeight="1">
      <c r="A15" s="132"/>
      <c r="B15" s="152"/>
      <c r="C15" s="143"/>
      <c r="D15" s="34"/>
      <c r="E15" s="6">
        <v>0</v>
      </c>
      <c r="F15" s="6">
        <v>0</v>
      </c>
      <c r="G15" s="5"/>
      <c r="H15" s="4" t="s">
        <v>14</v>
      </c>
      <c r="I15" s="146"/>
      <c r="J15" s="72"/>
    </row>
    <row r="16" spans="1:10" ht="15" customHeight="1">
      <c r="A16" s="132"/>
      <c r="B16" s="152"/>
      <c r="C16" s="143"/>
      <c r="D16" s="34"/>
      <c r="E16" s="6">
        <v>15</v>
      </c>
      <c r="F16" s="6">
        <v>0</v>
      </c>
      <c r="G16" s="5"/>
      <c r="H16" s="4" t="s">
        <v>11</v>
      </c>
      <c r="I16" s="146"/>
      <c r="J16" s="72"/>
    </row>
    <row r="17" spans="1:10" ht="15" customHeight="1">
      <c r="A17" s="132"/>
      <c r="B17" s="152"/>
      <c r="C17" s="143"/>
      <c r="D17" s="34"/>
      <c r="E17" s="6"/>
      <c r="F17" s="6">
        <v>20.214</v>
      </c>
      <c r="G17" s="5"/>
      <c r="H17" s="4" t="s">
        <v>12</v>
      </c>
      <c r="I17" s="146"/>
      <c r="J17" s="72"/>
    </row>
    <row r="18" spans="1:10" ht="18.75" customHeight="1">
      <c r="A18" s="132"/>
      <c r="B18" s="152"/>
      <c r="C18" s="143"/>
      <c r="D18" s="34"/>
      <c r="E18" s="6">
        <f>5+5</f>
        <v>10</v>
      </c>
      <c r="F18" s="6">
        <v>9.5</v>
      </c>
      <c r="G18" s="5"/>
      <c r="H18" s="4" t="s">
        <v>18</v>
      </c>
      <c r="I18" s="146"/>
      <c r="J18" s="72"/>
    </row>
    <row r="19" spans="1:10" ht="16.5" customHeight="1">
      <c r="A19" s="132"/>
      <c r="B19" s="153"/>
      <c r="C19" s="144"/>
      <c r="D19" s="35"/>
      <c r="E19" s="42"/>
      <c r="F19" s="6">
        <v>15</v>
      </c>
      <c r="G19" s="5"/>
      <c r="H19" s="4" t="s">
        <v>13</v>
      </c>
      <c r="I19" s="146"/>
      <c r="J19" s="72"/>
    </row>
    <row r="20" spans="1:10" ht="18.75" customHeight="1">
      <c r="A20" s="132"/>
      <c r="B20" s="151">
        <v>2015</v>
      </c>
      <c r="C20" s="125">
        <f>SUM(F20:F26)</f>
        <v>37.22845</v>
      </c>
      <c r="D20" s="31"/>
      <c r="E20" s="42"/>
      <c r="F20" s="6">
        <v>15</v>
      </c>
      <c r="G20" s="5"/>
      <c r="H20" s="4" t="s">
        <v>9</v>
      </c>
      <c r="I20" s="146"/>
      <c r="J20" s="72"/>
    </row>
    <row r="21" spans="1:10" ht="18.75" customHeight="1">
      <c r="A21" s="132"/>
      <c r="B21" s="152"/>
      <c r="C21" s="126"/>
      <c r="D21" s="34"/>
      <c r="E21" s="42"/>
      <c r="F21" s="6">
        <v>0</v>
      </c>
      <c r="G21" s="5"/>
      <c r="H21" s="4" t="s">
        <v>10</v>
      </c>
      <c r="I21" s="146"/>
      <c r="J21" s="72"/>
    </row>
    <row r="22" spans="1:10" ht="13.5" customHeight="1">
      <c r="A22" s="132"/>
      <c r="B22" s="152"/>
      <c r="C22" s="126"/>
      <c r="D22" s="34"/>
      <c r="E22" s="42"/>
      <c r="F22" s="75">
        <f>22.4-22.4</f>
        <v>0</v>
      </c>
      <c r="G22" s="5"/>
      <c r="H22" s="4" t="s">
        <v>14</v>
      </c>
      <c r="I22" s="146"/>
      <c r="J22" s="72">
        <v>340</v>
      </c>
    </row>
    <row r="23" spans="1:10" ht="15.75" customHeight="1">
      <c r="A23" s="132"/>
      <c r="B23" s="152"/>
      <c r="C23" s="126"/>
      <c r="D23" s="34"/>
      <c r="E23" s="42"/>
      <c r="F23" s="22">
        <f>7.907-0.5-0.17855</f>
        <v>7.2284500000000005</v>
      </c>
      <c r="G23" s="5"/>
      <c r="H23" s="4" t="s">
        <v>11</v>
      </c>
      <c r="I23" s="146"/>
      <c r="J23" s="72"/>
    </row>
    <row r="24" spans="1:10" ht="15" customHeight="1">
      <c r="A24" s="132"/>
      <c r="B24" s="152"/>
      <c r="C24" s="126"/>
      <c r="D24" s="34"/>
      <c r="E24" s="42"/>
      <c r="F24" s="6">
        <v>0</v>
      </c>
      <c r="G24" s="5"/>
      <c r="H24" s="4" t="s">
        <v>12</v>
      </c>
      <c r="I24" s="146"/>
      <c r="J24" s="72"/>
    </row>
    <row r="25" spans="1:10" ht="18.75" customHeight="1">
      <c r="A25" s="132"/>
      <c r="B25" s="152"/>
      <c r="C25" s="126"/>
      <c r="D25" s="34"/>
      <c r="E25" s="42"/>
      <c r="F25" s="6">
        <v>0</v>
      </c>
      <c r="G25" s="5"/>
      <c r="H25" s="4" t="s">
        <v>18</v>
      </c>
      <c r="I25" s="146"/>
      <c r="J25" s="72"/>
    </row>
    <row r="26" spans="1:10" ht="15.75" customHeight="1">
      <c r="A26" s="132"/>
      <c r="B26" s="153"/>
      <c r="C26" s="127"/>
      <c r="D26" s="35"/>
      <c r="E26" s="42"/>
      <c r="F26" s="6">
        <v>15</v>
      </c>
      <c r="G26" s="5"/>
      <c r="H26" s="4" t="s">
        <v>13</v>
      </c>
      <c r="I26" s="146"/>
      <c r="J26" s="72"/>
    </row>
    <row r="27" spans="1:10" ht="13.5" customHeight="1">
      <c r="A27" s="132"/>
      <c r="B27" s="151">
        <v>2016</v>
      </c>
      <c r="C27" s="148">
        <f>SUM(F27:F33)</f>
        <v>172.01604000000003</v>
      </c>
      <c r="D27" s="31"/>
      <c r="E27" s="42"/>
      <c r="F27" s="6">
        <v>15</v>
      </c>
      <c r="G27" s="5"/>
      <c r="H27" s="4" t="s">
        <v>9</v>
      </c>
      <c r="I27" s="146"/>
      <c r="J27" s="72"/>
    </row>
    <row r="28" spans="1:10" ht="18.75" customHeight="1">
      <c r="A28" s="132"/>
      <c r="B28" s="152"/>
      <c r="C28" s="149"/>
      <c r="D28" s="34"/>
      <c r="E28" s="42"/>
      <c r="F28" s="6">
        <f>35-18.056</f>
        <v>16.944</v>
      </c>
      <c r="G28" s="5"/>
      <c r="H28" s="4" t="s">
        <v>10</v>
      </c>
      <c r="I28" s="146"/>
      <c r="J28" s="72"/>
    </row>
    <row r="29" spans="1:10" ht="17.25" customHeight="1">
      <c r="A29" s="132"/>
      <c r="B29" s="152"/>
      <c r="C29" s="149"/>
      <c r="D29" s="34"/>
      <c r="E29" s="42"/>
      <c r="F29" s="6">
        <f>10+21.2+30</f>
        <v>61.2</v>
      </c>
      <c r="G29" s="5"/>
      <c r="H29" s="4" t="s">
        <v>14</v>
      </c>
      <c r="I29" s="146"/>
      <c r="J29" s="72"/>
    </row>
    <row r="30" spans="1:10" ht="15" customHeight="1">
      <c r="A30" s="132"/>
      <c r="B30" s="152"/>
      <c r="C30" s="149"/>
      <c r="D30" s="34"/>
      <c r="E30" s="42"/>
      <c r="F30" s="22">
        <f>15-1.41296-2-5-2.3-0.2+30</f>
        <v>34.08704</v>
      </c>
      <c r="G30" s="5"/>
      <c r="H30" s="4" t="s">
        <v>11</v>
      </c>
      <c r="I30" s="146"/>
      <c r="J30" s="72"/>
    </row>
    <row r="31" spans="1:10" ht="13.5" customHeight="1">
      <c r="A31" s="132"/>
      <c r="B31" s="152"/>
      <c r="C31" s="149"/>
      <c r="D31" s="34"/>
      <c r="E31" s="42"/>
      <c r="F31" s="6">
        <f>20+30-13.45</f>
        <v>36.55</v>
      </c>
      <c r="G31" s="5"/>
      <c r="H31" s="4" t="s">
        <v>12</v>
      </c>
      <c r="I31" s="146"/>
      <c r="J31" s="72"/>
    </row>
    <row r="32" spans="1:10" ht="12.75" customHeight="1">
      <c r="A32" s="132"/>
      <c r="B32" s="152"/>
      <c r="C32" s="149"/>
      <c r="D32" s="34"/>
      <c r="E32" s="42"/>
      <c r="F32" s="6">
        <f>5-3.765</f>
        <v>1.2349999999999999</v>
      </c>
      <c r="G32" s="5"/>
      <c r="H32" s="4" t="s">
        <v>18</v>
      </c>
      <c r="I32" s="146"/>
      <c r="J32" s="72"/>
    </row>
    <row r="33" spans="1:10" ht="18.75" customHeight="1">
      <c r="A33" s="133"/>
      <c r="B33" s="153"/>
      <c r="C33" s="150"/>
      <c r="D33" s="35"/>
      <c r="E33" s="42"/>
      <c r="F33" s="6">
        <f>15-8</f>
        <v>7</v>
      </c>
      <c r="G33" s="5"/>
      <c r="H33" s="4" t="s">
        <v>13</v>
      </c>
      <c r="I33" s="147"/>
      <c r="J33" s="72"/>
    </row>
    <row r="34" spans="1:10" ht="14.25" customHeight="1">
      <c r="A34" s="131" t="s">
        <v>31</v>
      </c>
      <c r="B34" s="151">
        <v>2014</v>
      </c>
      <c r="C34" s="148">
        <f>F34+F35+F36+F37+F38+F39+F40</f>
        <v>57.48</v>
      </c>
      <c r="D34" s="31"/>
      <c r="E34" s="38"/>
      <c r="F34" s="19">
        <v>8.4</v>
      </c>
      <c r="G34" s="21"/>
      <c r="H34" s="4" t="s">
        <v>9</v>
      </c>
      <c r="I34" s="173" t="s">
        <v>36</v>
      </c>
      <c r="J34" s="72"/>
    </row>
    <row r="35" spans="1:10" ht="14.25" customHeight="1">
      <c r="A35" s="132"/>
      <c r="B35" s="152"/>
      <c r="C35" s="149"/>
      <c r="D35" s="34"/>
      <c r="E35" s="38"/>
      <c r="F35" s="6">
        <v>8.4</v>
      </c>
      <c r="G35" s="21"/>
      <c r="H35" s="4" t="s">
        <v>10</v>
      </c>
      <c r="I35" s="174"/>
      <c r="J35" s="72"/>
    </row>
    <row r="36" spans="1:10" ht="14.25" customHeight="1">
      <c r="A36" s="132"/>
      <c r="B36" s="152"/>
      <c r="C36" s="149"/>
      <c r="D36" s="34"/>
      <c r="E36" s="38"/>
      <c r="F36" s="6">
        <v>8.4</v>
      </c>
      <c r="G36" s="14"/>
      <c r="H36" s="4" t="s">
        <v>14</v>
      </c>
      <c r="I36" s="174"/>
      <c r="J36" s="72"/>
    </row>
    <row r="37" spans="1:10" ht="14.25" customHeight="1">
      <c r="A37" s="132"/>
      <c r="B37" s="152"/>
      <c r="C37" s="149"/>
      <c r="D37" s="34"/>
      <c r="E37" s="38"/>
      <c r="F37" s="6">
        <v>8.4</v>
      </c>
      <c r="G37" s="22"/>
      <c r="H37" s="4" t="s">
        <v>11</v>
      </c>
      <c r="I37" s="174"/>
      <c r="J37" s="72"/>
    </row>
    <row r="38" spans="1:10" ht="14.25" customHeight="1">
      <c r="A38" s="132"/>
      <c r="B38" s="152"/>
      <c r="C38" s="149"/>
      <c r="D38" s="34"/>
      <c r="E38" s="38"/>
      <c r="F38" s="6">
        <v>8.4</v>
      </c>
      <c r="G38" s="21"/>
      <c r="H38" s="4" t="s">
        <v>12</v>
      </c>
      <c r="I38" s="174"/>
      <c r="J38" s="72"/>
    </row>
    <row r="39" spans="1:10" ht="14.25" customHeight="1">
      <c r="A39" s="132"/>
      <c r="B39" s="152"/>
      <c r="C39" s="149"/>
      <c r="D39" s="34"/>
      <c r="E39" s="38"/>
      <c r="F39" s="6">
        <v>8.4</v>
      </c>
      <c r="G39" s="21"/>
      <c r="H39" s="4" t="s">
        <v>15</v>
      </c>
      <c r="I39" s="174"/>
      <c r="J39" s="72"/>
    </row>
    <row r="40" spans="1:10" ht="14.25" customHeight="1">
      <c r="A40" s="132"/>
      <c r="B40" s="153"/>
      <c r="C40" s="150"/>
      <c r="D40" s="35"/>
      <c r="E40" s="38"/>
      <c r="F40" s="6">
        <f>7.67-0.59</f>
        <v>7.08</v>
      </c>
      <c r="G40" s="14"/>
      <c r="H40" s="4" t="s">
        <v>13</v>
      </c>
      <c r="I40" s="174"/>
      <c r="J40" s="72"/>
    </row>
    <row r="41" spans="1:10" ht="14.25" customHeight="1">
      <c r="A41" s="132"/>
      <c r="B41" s="151">
        <v>2015</v>
      </c>
      <c r="C41" s="159">
        <f>SUM(F41:F47)</f>
        <v>53.519999999999996</v>
      </c>
      <c r="D41" s="31"/>
      <c r="E41" s="38"/>
      <c r="F41" s="19">
        <v>7.08</v>
      </c>
      <c r="G41" s="14"/>
      <c r="H41" s="4" t="s">
        <v>9</v>
      </c>
      <c r="I41" s="174"/>
      <c r="J41" s="72"/>
    </row>
    <row r="42" spans="1:10" ht="14.25" customHeight="1">
      <c r="A42" s="132"/>
      <c r="B42" s="152"/>
      <c r="C42" s="160"/>
      <c r="D42" s="34"/>
      <c r="E42" s="38"/>
      <c r="F42" s="6">
        <v>7.08</v>
      </c>
      <c r="G42" s="14"/>
      <c r="H42" s="4" t="s">
        <v>10</v>
      </c>
      <c r="I42" s="174"/>
      <c r="J42" s="72"/>
    </row>
    <row r="43" spans="1:10" ht="14.25" customHeight="1">
      <c r="A43" s="132"/>
      <c r="B43" s="152"/>
      <c r="C43" s="160"/>
      <c r="D43" s="34"/>
      <c r="E43" s="38"/>
      <c r="F43" s="6">
        <v>8.4</v>
      </c>
      <c r="G43" s="14"/>
      <c r="H43" s="4" t="s">
        <v>14</v>
      </c>
      <c r="I43" s="174"/>
      <c r="J43" s="72"/>
    </row>
    <row r="44" spans="1:10" ht="14.25" customHeight="1">
      <c r="A44" s="132"/>
      <c r="B44" s="152"/>
      <c r="C44" s="160"/>
      <c r="D44" s="34"/>
      <c r="E44" s="38"/>
      <c r="F44" s="6">
        <v>8.4</v>
      </c>
      <c r="G44" s="14"/>
      <c r="H44" s="4" t="s">
        <v>11</v>
      </c>
      <c r="I44" s="174"/>
      <c r="J44" s="72">
        <v>221</v>
      </c>
    </row>
    <row r="45" spans="1:10" ht="14.25" customHeight="1">
      <c r="A45" s="132"/>
      <c r="B45" s="152"/>
      <c r="C45" s="160"/>
      <c r="D45" s="34"/>
      <c r="E45" s="38"/>
      <c r="F45" s="6">
        <f>7.08</f>
        <v>7.08</v>
      </c>
      <c r="G45" s="14"/>
      <c r="H45" s="4" t="s">
        <v>12</v>
      </c>
      <c r="I45" s="174"/>
      <c r="J45" s="72"/>
    </row>
    <row r="46" spans="1:10" ht="14.25" customHeight="1">
      <c r="A46" s="132"/>
      <c r="B46" s="152"/>
      <c r="C46" s="160"/>
      <c r="D46" s="34"/>
      <c r="E46" s="38"/>
      <c r="F46" s="6">
        <v>7.08</v>
      </c>
      <c r="G46" s="14"/>
      <c r="H46" s="4" t="s">
        <v>15</v>
      </c>
      <c r="I46" s="174"/>
      <c r="J46" s="72"/>
    </row>
    <row r="47" spans="1:10" ht="14.25" customHeight="1">
      <c r="A47" s="132"/>
      <c r="B47" s="153"/>
      <c r="C47" s="161"/>
      <c r="D47" s="35"/>
      <c r="E47" s="38"/>
      <c r="F47" s="6">
        <v>8.4</v>
      </c>
      <c r="G47" s="14"/>
      <c r="H47" s="4" t="s">
        <v>13</v>
      </c>
      <c r="I47" s="174"/>
      <c r="J47" s="72"/>
    </row>
    <row r="48" spans="1:10" ht="14.25" customHeight="1">
      <c r="A48" s="132"/>
      <c r="B48" s="151">
        <v>2016</v>
      </c>
      <c r="C48" s="148">
        <f>SUM(F48:F54)</f>
        <v>56.16</v>
      </c>
      <c r="D48" s="31"/>
      <c r="E48" s="38"/>
      <c r="F48" s="19">
        <v>8.4</v>
      </c>
      <c r="G48" s="14"/>
      <c r="H48" s="4" t="s">
        <v>9</v>
      </c>
      <c r="I48" s="174"/>
      <c r="J48" s="72"/>
    </row>
    <row r="49" spans="1:10" ht="14.25" customHeight="1">
      <c r="A49" s="132"/>
      <c r="B49" s="152"/>
      <c r="C49" s="149"/>
      <c r="D49" s="34"/>
      <c r="E49" s="38"/>
      <c r="F49" s="6">
        <v>8.4</v>
      </c>
      <c r="G49" s="14"/>
      <c r="H49" s="4" t="s">
        <v>10</v>
      </c>
      <c r="I49" s="174"/>
      <c r="J49" s="72"/>
    </row>
    <row r="50" spans="1:10" ht="14.25" customHeight="1">
      <c r="A50" s="132"/>
      <c r="B50" s="152"/>
      <c r="C50" s="149"/>
      <c r="D50" s="34"/>
      <c r="E50" s="38"/>
      <c r="F50" s="6">
        <v>8.4</v>
      </c>
      <c r="G50" s="14"/>
      <c r="H50" s="4" t="s">
        <v>14</v>
      </c>
      <c r="I50" s="174"/>
      <c r="J50" s="72"/>
    </row>
    <row r="51" spans="1:10" ht="14.25" customHeight="1">
      <c r="A51" s="132"/>
      <c r="B51" s="152"/>
      <c r="C51" s="149"/>
      <c r="D51" s="34"/>
      <c r="E51" s="38"/>
      <c r="F51" s="6">
        <v>8.4</v>
      </c>
      <c r="G51" s="14"/>
      <c r="H51" s="4" t="s">
        <v>11</v>
      </c>
      <c r="I51" s="174"/>
      <c r="J51" s="72"/>
    </row>
    <row r="52" spans="1:10" ht="14.25" customHeight="1">
      <c r="A52" s="132"/>
      <c r="B52" s="152"/>
      <c r="C52" s="149"/>
      <c r="D52" s="34"/>
      <c r="E52" s="38"/>
      <c r="F52" s="6">
        <f>8.4-1.32</f>
        <v>7.08</v>
      </c>
      <c r="G52" s="14"/>
      <c r="H52" s="4" t="s">
        <v>12</v>
      </c>
      <c r="I52" s="174"/>
      <c r="J52" s="72"/>
    </row>
    <row r="53" spans="1:10" ht="14.25" customHeight="1">
      <c r="A53" s="132"/>
      <c r="B53" s="152"/>
      <c r="C53" s="149"/>
      <c r="D53" s="34"/>
      <c r="E53" s="38"/>
      <c r="F53" s="6">
        <v>8.4</v>
      </c>
      <c r="G53" s="14"/>
      <c r="H53" s="4" t="s">
        <v>15</v>
      </c>
      <c r="I53" s="174"/>
      <c r="J53" s="72"/>
    </row>
    <row r="54" spans="1:10" ht="14.25" customHeight="1">
      <c r="A54" s="133"/>
      <c r="B54" s="153"/>
      <c r="C54" s="150"/>
      <c r="D54" s="35"/>
      <c r="E54" s="38"/>
      <c r="F54" s="6">
        <f>20.4-13.32</f>
        <v>7.079999999999998</v>
      </c>
      <c r="G54" s="14"/>
      <c r="H54" s="4" t="s">
        <v>13</v>
      </c>
      <c r="I54" s="175"/>
      <c r="J54" s="72"/>
    </row>
    <row r="55" spans="1:10" ht="13.5" customHeight="1">
      <c r="A55" s="131" t="s">
        <v>45</v>
      </c>
      <c r="B55" s="151">
        <v>2014</v>
      </c>
      <c r="C55" s="148">
        <f>F55+F56+F57+F58+F59+F60+F61+E55+E56+E57+E58+E59+E60+E61</f>
        <v>24</v>
      </c>
      <c r="D55" s="31"/>
      <c r="E55" s="6">
        <v>7</v>
      </c>
      <c r="F55" s="6">
        <v>0</v>
      </c>
      <c r="G55" s="14"/>
      <c r="H55" s="4" t="s">
        <v>9</v>
      </c>
      <c r="I55" s="145" t="s">
        <v>27</v>
      </c>
      <c r="J55" s="72"/>
    </row>
    <row r="56" spans="1:10" ht="15.75" customHeight="1">
      <c r="A56" s="132"/>
      <c r="B56" s="152"/>
      <c r="C56" s="149"/>
      <c r="D56" s="34"/>
      <c r="E56" s="6">
        <v>0</v>
      </c>
      <c r="F56" s="6">
        <v>0</v>
      </c>
      <c r="G56" s="4"/>
      <c r="H56" s="4" t="s">
        <v>10</v>
      </c>
      <c r="I56" s="146"/>
      <c r="J56" s="72"/>
    </row>
    <row r="57" spans="1:10" ht="15" customHeight="1">
      <c r="A57" s="132"/>
      <c r="B57" s="152"/>
      <c r="C57" s="149"/>
      <c r="D57" s="34"/>
      <c r="E57" s="6">
        <v>0</v>
      </c>
      <c r="F57" s="6">
        <v>0</v>
      </c>
      <c r="G57" s="4"/>
      <c r="H57" s="4" t="s">
        <v>14</v>
      </c>
      <c r="I57" s="146"/>
      <c r="J57" s="72"/>
    </row>
    <row r="58" spans="1:10" ht="15" customHeight="1">
      <c r="A58" s="132"/>
      <c r="B58" s="152"/>
      <c r="C58" s="149"/>
      <c r="D58" s="34"/>
      <c r="E58" s="6">
        <v>7</v>
      </c>
      <c r="F58" s="6">
        <v>0</v>
      </c>
      <c r="G58" s="4"/>
      <c r="H58" s="4" t="s">
        <v>11</v>
      </c>
      <c r="I58" s="146"/>
      <c r="J58" s="72"/>
    </row>
    <row r="59" spans="1:10" ht="15" customHeight="1">
      <c r="A59" s="132"/>
      <c r="B59" s="152"/>
      <c r="C59" s="149"/>
      <c r="D59" s="34"/>
      <c r="E59" s="6">
        <v>0</v>
      </c>
      <c r="F59" s="6">
        <v>10</v>
      </c>
      <c r="G59" s="4"/>
      <c r="H59" s="4" t="s">
        <v>12</v>
      </c>
      <c r="I59" s="146"/>
      <c r="J59" s="72"/>
    </row>
    <row r="60" spans="1:10" ht="15.75" customHeight="1">
      <c r="A60" s="132"/>
      <c r="B60" s="152"/>
      <c r="C60" s="149"/>
      <c r="D60" s="34"/>
      <c r="E60" s="19">
        <v>0</v>
      </c>
      <c r="F60" s="19">
        <v>0</v>
      </c>
      <c r="G60" s="4"/>
      <c r="H60" s="4" t="s">
        <v>18</v>
      </c>
      <c r="I60" s="146"/>
      <c r="J60" s="72"/>
    </row>
    <row r="61" spans="1:10" ht="15.75" customHeight="1">
      <c r="A61" s="132"/>
      <c r="B61" s="153"/>
      <c r="C61" s="150"/>
      <c r="D61" s="35"/>
      <c r="E61" s="19">
        <v>0</v>
      </c>
      <c r="F61" s="19">
        <v>0</v>
      </c>
      <c r="G61" s="4"/>
      <c r="H61" s="4" t="s">
        <v>13</v>
      </c>
      <c r="I61" s="146"/>
      <c r="J61" s="72"/>
    </row>
    <row r="62" spans="1:10" ht="15.75" customHeight="1">
      <c r="A62" s="132"/>
      <c r="B62" s="151">
        <v>2015</v>
      </c>
      <c r="C62" s="159">
        <f>SUM(F62:F68)</f>
        <v>36.753</v>
      </c>
      <c r="D62" s="31"/>
      <c r="E62" s="41"/>
      <c r="F62" s="6">
        <f>7+15.573</f>
        <v>22.573</v>
      </c>
      <c r="G62" s="4"/>
      <c r="H62" s="4" t="s">
        <v>9</v>
      </c>
      <c r="I62" s="146"/>
      <c r="J62" s="72">
        <v>340</v>
      </c>
    </row>
    <row r="63" spans="1:10" ht="15.75" customHeight="1">
      <c r="A63" s="132"/>
      <c r="B63" s="152"/>
      <c r="C63" s="160"/>
      <c r="D63" s="34"/>
      <c r="E63" s="41"/>
      <c r="F63" s="6">
        <v>0</v>
      </c>
      <c r="G63" s="4"/>
      <c r="H63" s="4" t="s">
        <v>10</v>
      </c>
      <c r="I63" s="146"/>
      <c r="J63" s="72"/>
    </row>
    <row r="64" spans="1:10" ht="15.75" customHeight="1">
      <c r="A64" s="132"/>
      <c r="B64" s="152"/>
      <c r="C64" s="160"/>
      <c r="D64" s="34"/>
      <c r="E64" s="41"/>
      <c r="F64" s="75">
        <f>5-5</f>
        <v>0</v>
      </c>
      <c r="G64" s="4"/>
      <c r="H64" s="4" t="s">
        <v>14</v>
      </c>
      <c r="I64" s="146"/>
      <c r="J64" s="72"/>
    </row>
    <row r="65" spans="1:10" ht="15.75" customHeight="1">
      <c r="A65" s="132"/>
      <c r="B65" s="152"/>
      <c r="C65" s="160"/>
      <c r="D65" s="34"/>
      <c r="E65" s="41"/>
      <c r="F65" s="6">
        <v>7</v>
      </c>
      <c r="G65" s="4"/>
      <c r="H65" s="4" t="s">
        <v>11</v>
      </c>
      <c r="I65" s="146"/>
      <c r="J65" s="72"/>
    </row>
    <row r="66" spans="1:10" ht="15.75" customHeight="1">
      <c r="A66" s="132"/>
      <c r="B66" s="152"/>
      <c r="C66" s="160"/>
      <c r="D66" s="34"/>
      <c r="E66" s="41"/>
      <c r="F66" s="6">
        <v>7.18</v>
      </c>
      <c r="G66" s="4"/>
      <c r="H66" s="4" t="s">
        <v>12</v>
      </c>
      <c r="I66" s="146"/>
      <c r="J66" s="72"/>
    </row>
    <row r="67" spans="1:10" ht="15.75" customHeight="1">
      <c r="A67" s="132"/>
      <c r="B67" s="152"/>
      <c r="C67" s="160"/>
      <c r="D67" s="34"/>
      <c r="E67" s="41"/>
      <c r="F67" s="19">
        <v>0</v>
      </c>
      <c r="G67" s="4"/>
      <c r="H67" s="4" t="s">
        <v>18</v>
      </c>
      <c r="I67" s="146"/>
      <c r="J67" s="72"/>
    </row>
    <row r="68" spans="1:10" ht="15.75" customHeight="1">
      <c r="A68" s="132"/>
      <c r="B68" s="153"/>
      <c r="C68" s="161"/>
      <c r="D68" s="35"/>
      <c r="E68" s="41"/>
      <c r="F68" s="19">
        <v>0</v>
      </c>
      <c r="G68" s="4"/>
      <c r="H68" s="4" t="s">
        <v>13</v>
      </c>
      <c r="I68" s="146"/>
      <c r="J68" s="72"/>
    </row>
    <row r="69" spans="1:10" ht="15.75" customHeight="1">
      <c r="A69" s="132"/>
      <c r="B69" s="151">
        <v>2016</v>
      </c>
      <c r="C69" s="148">
        <f>SUM(F69:F75)</f>
        <v>41.63424</v>
      </c>
      <c r="D69" s="31"/>
      <c r="E69" s="41"/>
      <c r="F69" s="6">
        <v>7</v>
      </c>
      <c r="G69" s="4"/>
      <c r="H69" s="4" t="s">
        <v>9</v>
      </c>
      <c r="I69" s="146"/>
      <c r="J69" s="72"/>
    </row>
    <row r="70" spans="1:10" ht="15.75" customHeight="1">
      <c r="A70" s="132"/>
      <c r="B70" s="152"/>
      <c r="C70" s="149"/>
      <c r="D70" s="34"/>
      <c r="E70" s="41"/>
      <c r="F70" s="6">
        <v>6</v>
      </c>
      <c r="G70" s="4"/>
      <c r="H70" s="4" t="s">
        <v>10</v>
      </c>
      <c r="I70" s="146"/>
      <c r="J70" s="72"/>
    </row>
    <row r="71" spans="1:10" ht="15.75" customHeight="1">
      <c r="A71" s="132"/>
      <c r="B71" s="152"/>
      <c r="C71" s="149"/>
      <c r="D71" s="34"/>
      <c r="E71" s="41"/>
      <c r="F71" s="6">
        <v>5</v>
      </c>
      <c r="G71" s="4"/>
      <c r="H71" s="4" t="s">
        <v>14</v>
      </c>
      <c r="I71" s="146"/>
      <c r="J71" s="72"/>
    </row>
    <row r="72" spans="1:10" ht="15.75" customHeight="1">
      <c r="A72" s="132"/>
      <c r="B72" s="152"/>
      <c r="C72" s="149"/>
      <c r="D72" s="34"/>
      <c r="E72" s="41"/>
      <c r="F72" s="22">
        <f>7-3.36576</f>
        <v>3.63424</v>
      </c>
      <c r="G72" s="4"/>
      <c r="H72" s="4" t="s">
        <v>11</v>
      </c>
      <c r="I72" s="146"/>
      <c r="J72" s="72"/>
    </row>
    <row r="73" spans="1:10" ht="15.75" customHeight="1">
      <c r="A73" s="132"/>
      <c r="B73" s="152"/>
      <c r="C73" s="149"/>
      <c r="D73" s="34"/>
      <c r="E73" s="41"/>
      <c r="F73" s="6">
        <v>10</v>
      </c>
      <c r="G73" s="4"/>
      <c r="H73" s="4" t="s">
        <v>12</v>
      </c>
      <c r="I73" s="146"/>
      <c r="J73" s="72"/>
    </row>
    <row r="74" spans="1:10" ht="15.75" customHeight="1">
      <c r="A74" s="132"/>
      <c r="B74" s="152"/>
      <c r="C74" s="149"/>
      <c r="D74" s="34"/>
      <c r="E74" s="41"/>
      <c r="F74" s="19">
        <v>5</v>
      </c>
      <c r="G74" s="4"/>
      <c r="H74" s="4" t="s">
        <v>18</v>
      </c>
      <c r="I74" s="146"/>
      <c r="J74" s="72"/>
    </row>
    <row r="75" spans="1:10" ht="15.75" customHeight="1">
      <c r="A75" s="133"/>
      <c r="B75" s="153"/>
      <c r="C75" s="150"/>
      <c r="D75" s="35"/>
      <c r="E75" s="41"/>
      <c r="F75" s="19">
        <v>5</v>
      </c>
      <c r="G75" s="4"/>
      <c r="H75" s="4" t="s">
        <v>13</v>
      </c>
      <c r="I75" s="147"/>
      <c r="J75" s="72"/>
    </row>
    <row r="76" spans="1:10" ht="15.75" customHeight="1">
      <c r="A76" s="131" t="s">
        <v>35</v>
      </c>
      <c r="B76" s="151">
        <v>2014</v>
      </c>
      <c r="C76" s="148">
        <f>F76+F77+F78+F79+F80+F81+F82</f>
        <v>0</v>
      </c>
      <c r="D76" s="31"/>
      <c r="E76" s="42"/>
      <c r="F76" s="6">
        <v>0</v>
      </c>
      <c r="G76" s="5"/>
      <c r="H76" s="4" t="s">
        <v>9</v>
      </c>
      <c r="I76" s="145" t="s">
        <v>32</v>
      </c>
      <c r="J76" s="72"/>
    </row>
    <row r="77" spans="1:10" ht="15.75" customHeight="1">
      <c r="A77" s="132"/>
      <c r="B77" s="152"/>
      <c r="C77" s="149"/>
      <c r="D77" s="34"/>
      <c r="E77" s="42"/>
      <c r="F77" s="6">
        <v>0</v>
      </c>
      <c r="G77" s="5"/>
      <c r="H77" s="4" t="s">
        <v>10</v>
      </c>
      <c r="I77" s="146"/>
      <c r="J77" s="72"/>
    </row>
    <row r="78" spans="1:10" ht="15.75" customHeight="1">
      <c r="A78" s="132"/>
      <c r="B78" s="152"/>
      <c r="C78" s="149"/>
      <c r="D78" s="34"/>
      <c r="E78" s="42"/>
      <c r="F78" s="19">
        <v>0</v>
      </c>
      <c r="G78" s="5"/>
      <c r="H78" s="4" t="s">
        <v>14</v>
      </c>
      <c r="I78" s="146"/>
      <c r="J78" s="72"/>
    </row>
    <row r="79" spans="1:10" ht="13.5" customHeight="1">
      <c r="A79" s="132"/>
      <c r="B79" s="152"/>
      <c r="C79" s="149"/>
      <c r="D79" s="34"/>
      <c r="E79" s="42"/>
      <c r="F79" s="19">
        <v>0</v>
      </c>
      <c r="G79" s="5"/>
      <c r="H79" s="4" t="s">
        <v>11</v>
      </c>
      <c r="I79" s="146"/>
      <c r="J79" s="72"/>
    </row>
    <row r="80" spans="1:10" ht="13.5" customHeight="1">
      <c r="A80" s="132"/>
      <c r="B80" s="152"/>
      <c r="C80" s="149"/>
      <c r="D80" s="34"/>
      <c r="E80" s="42"/>
      <c r="F80" s="19">
        <v>0</v>
      </c>
      <c r="G80" s="5"/>
      <c r="H80" s="4" t="s">
        <v>12</v>
      </c>
      <c r="I80" s="146"/>
      <c r="J80" s="72">
        <v>340</v>
      </c>
    </row>
    <row r="81" spans="1:10" ht="15" customHeight="1">
      <c r="A81" s="132"/>
      <c r="B81" s="152"/>
      <c r="C81" s="149"/>
      <c r="D81" s="34"/>
      <c r="E81" s="42"/>
      <c r="F81" s="19">
        <v>0</v>
      </c>
      <c r="G81" s="5"/>
      <c r="H81" s="4" t="s">
        <v>15</v>
      </c>
      <c r="I81" s="146"/>
      <c r="J81" s="72"/>
    </row>
    <row r="82" spans="1:10" ht="15.75" customHeight="1">
      <c r="A82" s="132"/>
      <c r="B82" s="153"/>
      <c r="C82" s="150"/>
      <c r="D82" s="35"/>
      <c r="E82" s="42"/>
      <c r="F82" s="19">
        <v>0</v>
      </c>
      <c r="G82" s="12"/>
      <c r="H82" s="4" t="s">
        <v>13</v>
      </c>
      <c r="I82" s="146"/>
      <c r="J82" s="72"/>
    </row>
    <row r="83" spans="1:10" ht="15.75" customHeight="1">
      <c r="A83" s="132"/>
      <c r="B83" s="151">
        <v>2015</v>
      </c>
      <c r="C83" s="148">
        <f>SUM(F83:F89)</f>
        <v>0</v>
      </c>
      <c r="D83" s="31"/>
      <c r="E83" s="42"/>
      <c r="F83" s="6">
        <v>0</v>
      </c>
      <c r="G83" s="12"/>
      <c r="H83" s="4" t="s">
        <v>9</v>
      </c>
      <c r="I83" s="146"/>
      <c r="J83" s="72"/>
    </row>
    <row r="84" spans="1:10" ht="15.75" customHeight="1">
      <c r="A84" s="132"/>
      <c r="B84" s="152"/>
      <c r="C84" s="149"/>
      <c r="D84" s="34"/>
      <c r="E84" s="42"/>
      <c r="F84" s="6">
        <v>0</v>
      </c>
      <c r="G84" s="12"/>
      <c r="H84" s="4" t="s">
        <v>10</v>
      </c>
      <c r="I84" s="146"/>
      <c r="J84" s="72"/>
    </row>
    <row r="85" spans="1:10" ht="15.75" customHeight="1">
      <c r="A85" s="132"/>
      <c r="B85" s="152"/>
      <c r="C85" s="149"/>
      <c r="D85" s="34"/>
      <c r="E85" s="42"/>
      <c r="F85" s="19">
        <v>0</v>
      </c>
      <c r="G85" s="12"/>
      <c r="H85" s="4" t="s">
        <v>14</v>
      </c>
      <c r="I85" s="146"/>
      <c r="J85" s="72"/>
    </row>
    <row r="86" spans="1:10" ht="15.75" customHeight="1">
      <c r="A86" s="132"/>
      <c r="B86" s="152"/>
      <c r="C86" s="149"/>
      <c r="D86" s="34"/>
      <c r="E86" s="42"/>
      <c r="F86" s="19">
        <v>0</v>
      </c>
      <c r="G86" s="12"/>
      <c r="H86" s="4" t="s">
        <v>11</v>
      </c>
      <c r="I86" s="146"/>
      <c r="J86" s="72"/>
    </row>
    <row r="87" spans="1:10" ht="15.75" customHeight="1">
      <c r="A87" s="132"/>
      <c r="B87" s="152"/>
      <c r="C87" s="149"/>
      <c r="D87" s="34"/>
      <c r="E87" s="42"/>
      <c r="F87" s="19">
        <v>0</v>
      </c>
      <c r="G87" s="12"/>
      <c r="H87" s="4" t="s">
        <v>12</v>
      </c>
      <c r="I87" s="146"/>
      <c r="J87" s="72"/>
    </row>
    <row r="88" spans="1:10" ht="15.75" customHeight="1">
      <c r="A88" s="132"/>
      <c r="B88" s="152"/>
      <c r="C88" s="149"/>
      <c r="D88" s="34"/>
      <c r="E88" s="42"/>
      <c r="F88" s="19">
        <v>0</v>
      </c>
      <c r="G88" s="12"/>
      <c r="H88" s="4" t="s">
        <v>15</v>
      </c>
      <c r="I88" s="146"/>
      <c r="J88" s="72"/>
    </row>
    <row r="89" spans="1:10" ht="15.75" customHeight="1">
      <c r="A89" s="132"/>
      <c r="B89" s="153"/>
      <c r="C89" s="150"/>
      <c r="D89" s="35"/>
      <c r="E89" s="42"/>
      <c r="F89" s="19">
        <v>0</v>
      </c>
      <c r="G89" s="12"/>
      <c r="H89" s="4" t="s">
        <v>13</v>
      </c>
      <c r="I89" s="146"/>
      <c r="J89" s="72"/>
    </row>
    <row r="90" spans="1:10" ht="15.75" customHeight="1">
      <c r="A90" s="132"/>
      <c r="B90" s="151">
        <v>2016</v>
      </c>
      <c r="C90" s="148">
        <f>SUM(F90:F96)</f>
        <v>16.5</v>
      </c>
      <c r="D90" s="31"/>
      <c r="E90" s="42"/>
      <c r="F90" s="6">
        <v>0</v>
      </c>
      <c r="G90" s="12"/>
      <c r="H90" s="4" t="s">
        <v>9</v>
      </c>
      <c r="I90" s="146"/>
      <c r="J90" s="72"/>
    </row>
    <row r="91" spans="1:10" ht="15.75" customHeight="1">
      <c r="A91" s="132"/>
      <c r="B91" s="152"/>
      <c r="C91" s="149"/>
      <c r="D91" s="34"/>
      <c r="E91" s="42"/>
      <c r="F91" s="6">
        <v>0</v>
      </c>
      <c r="G91" s="12"/>
      <c r="H91" s="4" t="s">
        <v>10</v>
      </c>
      <c r="I91" s="146"/>
      <c r="J91" s="72"/>
    </row>
    <row r="92" spans="1:10" ht="15.75" customHeight="1">
      <c r="A92" s="132"/>
      <c r="B92" s="152"/>
      <c r="C92" s="149"/>
      <c r="D92" s="34"/>
      <c r="E92" s="42"/>
      <c r="F92" s="19">
        <v>0</v>
      </c>
      <c r="G92" s="12"/>
      <c r="H92" s="4" t="s">
        <v>14</v>
      </c>
      <c r="I92" s="146"/>
      <c r="J92" s="72"/>
    </row>
    <row r="93" spans="1:10" ht="15.75" customHeight="1">
      <c r="A93" s="132"/>
      <c r="B93" s="152"/>
      <c r="C93" s="149"/>
      <c r="D93" s="34"/>
      <c r="E93" s="42"/>
      <c r="F93" s="19">
        <v>0</v>
      </c>
      <c r="G93" s="12"/>
      <c r="H93" s="4" t="s">
        <v>11</v>
      </c>
      <c r="I93" s="146"/>
      <c r="J93" s="72"/>
    </row>
    <row r="94" spans="1:10" ht="15.75" customHeight="1">
      <c r="A94" s="132"/>
      <c r="B94" s="152"/>
      <c r="C94" s="149"/>
      <c r="D94" s="34"/>
      <c r="E94" s="42"/>
      <c r="F94" s="19">
        <v>0</v>
      </c>
      <c r="G94" s="12"/>
      <c r="H94" s="4" t="s">
        <v>12</v>
      </c>
      <c r="I94" s="146"/>
      <c r="J94" s="72"/>
    </row>
    <row r="95" spans="1:10" ht="15.75" customHeight="1">
      <c r="A95" s="132"/>
      <c r="B95" s="152"/>
      <c r="C95" s="149"/>
      <c r="D95" s="34"/>
      <c r="E95" s="42"/>
      <c r="F95" s="19">
        <v>16.5</v>
      </c>
      <c r="G95" s="12"/>
      <c r="H95" s="4" t="s">
        <v>15</v>
      </c>
      <c r="I95" s="146"/>
      <c r="J95" s="72"/>
    </row>
    <row r="96" spans="1:10" ht="15.75" customHeight="1">
      <c r="A96" s="133"/>
      <c r="B96" s="153"/>
      <c r="C96" s="150"/>
      <c r="D96" s="35"/>
      <c r="E96" s="42"/>
      <c r="F96" s="19">
        <v>0</v>
      </c>
      <c r="G96" s="12"/>
      <c r="H96" s="4" t="s">
        <v>13</v>
      </c>
      <c r="I96" s="147"/>
      <c r="J96" s="72"/>
    </row>
    <row r="97" spans="1:10" ht="15.75" customHeight="1">
      <c r="A97" s="131" t="s">
        <v>46</v>
      </c>
      <c r="B97" s="151">
        <v>2014</v>
      </c>
      <c r="C97" s="148">
        <f>F97+F98+F99+F100+F101+F102+E97+E98+E99+E100+E101+E102</f>
        <v>111</v>
      </c>
      <c r="D97" s="31"/>
      <c r="E97" s="42"/>
      <c r="F97" s="19">
        <v>15</v>
      </c>
      <c r="G97" s="12"/>
      <c r="H97" s="4" t="s">
        <v>10</v>
      </c>
      <c r="I97" s="145" t="s">
        <v>26</v>
      </c>
      <c r="J97" s="72"/>
    </row>
    <row r="98" spans="1:10" ht="16.5" customHeight="1">
      <c r="A98" s="132"/>
      <c r="B98" s="152"/>
      <c r="C98" s="149"/>
      <c r="D98" s="34"/>
      <c r="E98" s="42"/>
      <c r="F98" s="19">
        <v>15</v>
      </c>
      <c r="G98" s="5"/>
      <c r="H98" s="4" t="s">
        <v>14</v>
      </c>
      <c r="I98" s="146"/>
      <c r="J98" s="72"/>
    </row>
    <row r="99" spans="1:10" ht="15" customHeight="1">
      <c r="A99" s="132"/>
      <c r="B99" s="152"/>
      <c r="C99" s="149"/>
      <c r="D99" s="34"/>
      <c r="E99" s="6">
        <v>15</v>
      </c>
      <c r="F99" s="19">
        <v>0</v>
      </c>
      <c r="G99" s="5"/>
      <c r="H99" s="4" t="s">
        <v>11</v>
      </c>
      <c r="I99" s="146"/>
      <c r="J99" s="72"/>
    </row>
    <row r="100" spans="1:10" ht="15" customHeight="1">
      <c r="A100" s="132"/>
      <c r="B100" s="152"/>
      <c r="C100" s="149"/>
      <c r="D100" s="34"/>
      <c r="E100" s="6">
        <f>45-20</f>
        <v>25</v>
      </c>
      <c r="F100" s="19">
        <v>0</v>
      </c>
      <c r="G100" s="5"/>
      <c r="H100" s="4" t="s">
        <v>12</v>
      </c>
      <c r="I100" s="146"/>
      <c r="J100" s="72"/>
    </row>
    <row r="101" spans="1:10" ht="15" customHeight="1">
      <c r="A101" s="132"/>
      <c r="B101" s="152"/>
      <c r="C101" s="149"/>
      <c r="D101" s="34"/>
      <c r="E101" s="42"/>
      <c r="F101" s="19">
        <v>18</v>
      </c>
      <c r="G101" s="5"/>
      <c r="H101" s="4" t="s">
        <v>15</v>
      </c>
      <c r="I101" s="146"/>
      <c r="J101" s="72"/>
    </row>
    <row r="102" spans="1:10" ht="15" customHeight="1">
      <c r="A102" s="132"/>
      <c r="B102" s="153"/>
      <c r="C102" s="150"/>
      <c r="D102" s="35"/>
      <c r="E102" s="42"/>
      <c r="F102" s="19">
        <f>15+8</f>
        <v>23</v>
      </c>
      <c r="G102" s="5"/>
      <c r="H102" s="4" t="s">
        <v>13</v>
      </c>
      <c r="I102" s="146"/>
      <c r="J102" s="72"/>
    </row>
    <row r="103" spans="1:10" ht="15" customHeight="1">
      <c r="A103" s="132"/>
      <c r="B103" s="151">
        <v>2015</v>
      </c>
      <c r="C103" s="142">
        <f>SUM(F103:F108)</f>
        <v>82.786</v>
      </c>
      <c r="D103" s="31"/>
      <c r="E103" s="42"/>
      <c r="F103" s="19">
        <v>15</v>
      </c>
      <c r="G103" s="5"/>
      <c r="H103" s="4" t="s">
        <v>10</v>
      </c>
      <c r="I103" s="146"/>
      <c r="J103" s="72">
        <v>225</v>
      </c>
    </row>
    <row r="104" spans="1:10" ht="15" customHeight="1">
      <c r="A104" s="132"/>
      <c r="B104" s="152"/>
      <c r="C104" s="143"/>
      <c r="D104" s="34"/>
      <c r="E104" s="42"/>
      <c r="F104" s="76">
        <f>15-0.214</f>
        <v>14.786</v>
      </c>
      <c r="G104" s="5"/>
      <c r="H104" s="4" t="s">
        <v>14</v>
      </c>
      <c r="I104" s="146"/>
      <c r="J104" s="72"/>
    </row>
    <row r="105" spans="1:10" ht="15" customHeight="1">
      <c r="A105" s="132"/>
      <c r="B105" s="152"/>
      <c r="C105" s="143"/>
      <c r="D105" s="34"/>
      <c r="E105" s="42"/>
      <c r="F105" s="19">
        <v>10</v>
      </c>
      <c r="G105" s="5"/>
      <c r="H105" s="4" t="s">
        <v>11</v>
      </c>
      <c r="I105" s="146"/>
      <c r="J105" s="72"/>
    </row>
    <row r="106" spans="1:10" ht="15" customHeight="1">
      <c r="A106" s="132"/>
      <c r="B106" s="152"/>
      <c r="C106" s="143"/>
      <c r="D106" s="34"/>
      <c r="E106" s="42"/>
      <c r="F106" s="19">
        <v>25</v>
      </c>
      <c r="G106" s="5"/>
      <c r="H106" s="4" t="s">
        <v>12</v>
      </c>
      <c r="I106" s="146"/>
      <c r="J106" s="72"/>
    </row>
    <row r="107" spans="1:10" ht="15" customHeight="1">
      <c r="A107" s="132"/>
      <c r="B107" s="152"/>
      <c r="C107" s="143"/>
      <c r="D107" s="34"/>
      <c r="E107" s="42"/>
      <c r="F107" s="19">
        <v>18</v>
      </c>
      <c r="G107" s="5"/>
      <c r="H107" s="4" t="s">
        <v>15</v>
      </c>
      <c r="I107" s="146"/>
      <c r="J107" s="72"/>
    </row>
    <row r="108" spans="1:10" ht="15" customHeight="1">
      <c r="A108" s="132"/>
      <c r="B108" s="153"/>
      <c r="C108" s="144"/>
      <c r="D108" s="35"/>
      <c r="E108" s="42"/>
      <c r="F108" s="19">
        <v>0</v>
      </c>
      <c r="G108" s="5"/>
      <c r="H108" s="4" t="s">
        <v>13</v>
      </c>
      <c r="I108" s="146"/>
      <c r="J108" s="72"/>
    </row>
    <row r="109" spans="1:10" ht="15" customHeight="1">
      <c r="A109" s="132"/>
      <c r="B109" s="151">
        <v>2016</v>
      </c>
      <c r="C109" s="142">
        <f>SUM(F109:F114)</f>
        <v>97.56447999999999</v>
      </c>
      <c r="D109" s="31"/>
      <c r="E109" s="42"/>
      <c r="F109" s="19">
        <v>15</v>
      </c>
      <c r="G109" s="5"/>
      <c r="H109" s="4" t="s">
        <v>10</v>
      </c>
      <c r="I109" s="146"/>
      <c r="J109" s="72"/>
    </row>
    <row r="110" spans="1:10" ht="15" customHeight="1">
      <c r="A110" s="132"/>
      <c r="B110" s="152"/>
      <c r="C110" s="143"/>
      <c r="D110" s="34"/>
      <c r="E110" s="42"/>
      <c r="F110" s="19">
        <v>15</v>
      </c>
      <c r="G110" s="5"/>
      <c r="H110" s="4" t="s">
        <v>14</v>
      </c>
      <c r="I110" s="146"/>
      <c r="J110" s="72"/>
    </row>
    <row r="111" spans="1:10" ht="15" customHeight="1">
      <c r="A111" s="132"/>
      <c r="B111" s="152"/>
      <c r="C111" s="143"/>
      <c r="D111" s="34"/>
      <c r="E111" s="42"/>
      <c r="F111" s="19">
        <f>15-5</f>
        <v>10</v>
      </c>
      <c r="G111" s="5"/>
      <c r="H111" s="4" t="s">
        <v>11</v>
      </c>
      <c r="I111" s="146"/>
      <c r="J111" s="72"/>
    </row>
    <row r="112" spans="1:10" ht="15" customHeight="1">
      <c r="A112" s="132"/>
      <c r="B112" s="152"/>
      <c r="C112" s="143"/>
      <c r="D112" s="34"/>
      <c r="E112" s="42"/>
      <c r="F112" s="111">
        <f>45-16.23552</f>
        <v>28.76448</v>
      </c>
      <c r="G112" s="5"/>
      <c r="H112" s="4" t="s">
        <v>12</v>
      </c>
      <c r="I112" s="146"/>
      <c r="J112" s="72"/>
    </row>
    <row r="113" spans="1:10" ht="15" customHeight="1">
      <c r="A113" s="132"/>
      <c r="B113" s="152"/>
      <c r="C113" s="143"/>
      <c r="D113" s="34"/>
      <c r="E113" s="42"/>
      <c r="F113" s="19">
        <v>18</v>
      </c>
      <c r="G113" s="5"/>
      <c r="H113" s="4" t="s">
        <v>15</v>
      </c>
      <c r="I113" s="146"/>
      <c r="J113" s="72"/>
    </row>
    <row r="114" spans="1:10" ht="15" customHeight="1">
      <c r="A114" s="133"/>
      <c r="B114" s="153"/>
      <c r="C114" s="144"/>
      <c r="D114" s="35"/>
      <c r="E114" s="42"/>
      <c r="F114" s="19">
        <f>15-4.2</f>
        <v>10.8</v>
      </c>
      <c r="G114" s="5"/>
      <c r="H114" s="4" t="s">
        <v>13</v>
      </c>
      <c r="I114" s="147"/>
      <c r="J114" s="72"/>
    </row>
    <row r="115" spans="1:10" ht="15" customHeight="1">
      <c r="A115" s="131" t="s">
        <v>47</v>
      </c>
      <c r="B115" s="151">
        <v>2014</v>
      </c>
      <c r="C115" s="148">
        <f>F115+F116+F117+F118+F119+E115+E116+E117+E118+E119</f>
        <v>6.713</v>
      </c>
      <c r="D115" s="31"/>
      <c r="E115" s="6">
        <v>0</v>
      </c>
      <c r="F115" s="6">
        <v>0</v>
      </c>
      <c r="G115" s="5"/>
      <c r="H115" s="4" t="s">
        <v>9</v>
      </c>
      <c r="I115" s="145" t="s">
        <v>28</v>
      </c>
      <c r="J115" s="72"/>
    </row>
    <row r="116" spans="1:10" ht="15" customHeight="1">
      <c r="A116" s="132"/>
      <c r="B116" s="152"/>
      <c r="C116" s="149"/>
      <c r="D116" s="34"/>
      <c r="E116" s="6">
        <v>0</v>
      </c>
      <c r="F116" s="6">
        <v>0</v>
      </c>
      <c r="G116" s="5"/>
      <c r="H116" s="4" t="s">
        <v>10</v>
      </c>
      <c r="I116" s="146"/>
      <c r="J116" s="72"/>
    </row>
    <row r="117" spans="1:10" ht="15" customHeight="1">
      <c r="A117" s="132"/>
      <c r="B117" s="152"/>
      <c r="C117" s="149"/>
      <c r="D117" s="34"/>
      <c r="E117" s="19">
        <v>0</v>
      </c>
      <c r="F117" s="6">
        <v>0</v>
      </c>
      <c r="G117" s="5"/>
      <c r="H117" s="4" t="s">
        <v>14</v>
      </c>
      <c r="I117" s="146"/>
      <c r="J117" s="72"/>
    </row>
    <row r="118" spans="1:10" ht="15" customHeight="1">
      <c r="A118" s="132"/>
      <c r="B118" s="152"/>
      <c r="C118" s="149"/>
      <c r="D118" s="34"/>
      <c r="E118" s="19">
        <v>6.713</v>
      </c>
      <c r="F118" s="6">
        <v>0</v>
      </c>
      <c r="G118" s="5"/>
      <c r="H118" s="4" t="s">
        <v>12</v>
      </c>
      <c r="I118" s="146"/>
      <c r="J118" s="72"/>
    </row>
    <row r="119" spans="1:10" ht="18" customHeight="1">
      <c r="A119" s="132"/>
      <c r="B119" s="153"/>
      <c r="C119" s="150"/>
      <c r="D119" s="35"/>
      <c r="E119" s="19">
        <v>0</v>
      </c>
      <c r="F119" s="6">
        <v>0</v>
      </c>
      <c r="G119" s="5"/>
      <c r="H119" s="4" t="s">
        <v>13</v>
      </c>
      <c r="I119" s="146"/>
      <c r="J119" s="72"/>
    </row>
    <row r="120" spans="1:10" ht="18" customHeight="1">
      <c r="A120" s="132"/>
      <c r="B120" s="151">
        <v>2015</v>
      </c>
      <c r="C120" s="148">
        <f>SUM(F120:F124)</f>
        <v>15</v>
      </c>
      <c r="D120" s="31"/>
      <c r="E120" s="42"/>
      <c r="F120" s="6">
        <v>10</v>
      </c>
      <c r="G120" s="5"/>
      <c r="H120" s="4" t="s">
        <v>9</v>
      </c>
      <c r="I120" s="146"/>
      <c r="J120" s="72"/>
    </row>
    <row r="121" spans="1:10" ht="18" customHeight="1">
      <c r="A121" s="132"/>
      <c r="B121" s="152"/>
      <c r="C121" s="149"/>
      <c r="D121" s="34"/>
      <c r="E121" s="42"/>
      <c r="F121" s="6">
        <v>0</v>
      </c>
      <c r="G121" s="5"/>
      <c r="H121" s="4" t="s">
        <v>10</v>
      </c>
      <c r="I121" s="146"/>
      <c r="J121" s="72">
        <v>225</v>
      </c>
    </row>
    <row r="122" spans="1:10" ht="18" customHeight="1">
      <c r="A122" s="132"/>
      <c r="B122" s="152"/>
      <c r="C122" s="149"/>
      <c r="D122" s="34"/>
      <c r="E122" s="42"/>
      <c r="F122" s="76">
        <f>10-10</f>
        <v>0</v>
      </c>
      <c r="G122" s="5"/>
      <c r="H122" s="4" t="s">
        <v>14</v>
      </c>
      <c r="I122" s="146"/>
      <c r="J122" s="72"/>
    </row>
    <row r="123" spans="1:10" ht="18" customHeight="1">
      <c r="A123" s="132"/>
      <c r="B123" s="152"/>
      <c r="C123" s="149"/>
      <c r="D123" s="34"/>
      <c r="E123" s="42"/>
      <c r="F123" s="19">
        <v>5</v>
      </c>
      <c r="G123" s="5"/>
      <c r="H123" s="4" t="s">
        <v>12</v>
      </c>
      <c r="I123" s="146"/>
      <c r="J123" s="72"/>
    </row>
    <row r="124" spans="1:10" ht="18" customHeight="1">
      <c r="A124" s="132"/>
      <c r="B124" s="153"/>
      <c r="C124" s="150"/>
      <c r="D124" s="35"/>
      <c r="E124" s="42"/>
      <c r="F124" s="19">
        <v>0</v>
      </c>
      <c r="G124" s="5"/>
      <c r="H124" s="4" t="s">
        <v>13</v>
      </c>
      <c r="I124" s="146"/>
      <c r="J124" s="72"/>
    </row>
    <row r="125" spans="1:10" ht="18" customHeight="1">
      <c r="A125" s="132"/>
      <c r="B125" s="151">
        <v>2016</v>
      </c>
      <c r="C125" s="148">
        <f>SUM(F125:F130)</f>
        <v>27</v>
      </c>
      <c r="D125" s="148"/>
      <c r="E125" s="42"/>
      <c r="F125" s="6">
        <f>10-10</f>
        <v>0</v>
      </c>
      <c r="G125" s="5"/>
      <c r="H125" s="4" t="s">
        <v>9</v>
      </c>
      <c r="I125" s="146"/>
      <c r="J125" s="72"/>
    </row>
    <row r="126" spans="1:10" ht="18" customHeight="1">
      <c r="A126" s="132"/>
      <c r="B126" s="152"/>
      <c r="C126" s="149"/>
      <c r="D126" s="149"/>
      <c r="E126" s="42"/>
      <c r="F126" s="6">
        <v>10</v>
      </c>
      <c r="G126" s="5"/>
      <c r="H126" s="4" t="s">
        <v>10</v>
      </c>
      <c r="I126" s="146"/>
      <c r="J126" s="72"/>
    </row>
    <row r="127" spans="1:10" ht="18" customHeight="1">
      <c r="A127" s="132"/>
      <c r="B127" s="152"/>
      <c r="C127" s="149"/>
      <c r="D127" s="149"/>
      <c r="E127" s="42"/>
      <c r="F127" s="19">
        <v>10</v>
      </c>
      <c r="G127" s="5"/>
      <c r="H127" s="4" t="s">
        <v>14</v>
      </c>
      <c r="I127" s="146"/>
      <c r="J127" s="72"/>
    </row>
    <row r="128" spans="1:10" ht="18" customHeight="1">
      <c r="A128" s="132"/>
      <c r="B128" s="152"/>
      <c r="C128" s="149"/>
      <c r="D128" s="149"/>
      <c r="E128" s="42"/>
      <c r="F128" s="19">
        <v>5</v>
      </c>
      <c r="G128" s="5"/>
      <c r="H128" s="4" t="s">
        <v>12</v>
      </c>
      <c r="I128" s="146"/>
      <c r="J128" s="72"/>
    </row>
    <row r="129" spans="1:10" ht="18" customHeight="1">
      <c r="A129" s="132"/>
      <c r="B129" s="152"/>
      <c r="C129" s="149"/>
      <c r="D129" s="149"/>
      <c r="E129" s="42"/>
      <c r="F129" s="19">
        <f>10-7.6-2.4</f>
        <v>0</v>
      </c>
      <c r="G129" s="5"/>
      <c r="H129" s="4" t="s">
        <v>13</v>
      </c>
      <c r="I129" s="147"/>
      <c r="J129" s="72"/>
    </row>
    <row r="130" spans="1:10" ht="18" customHeight="1">
      <c r="A130" s="133"/>
      <c r="B130" s="153"/>
      <c r="C130" s="150"/>
      <c r="D130" s="150"/>
      <c r="E130" s="42"/>
      <c r="F130" s="19">
        <v>2</v>
      </c>
      <c r="G130" s="5"/>
      <c r="H130" s="4" t="s">
        <v>11</v>
      </c>
      <c r="I130" s="84"/>
      <c r="J130" s="72"/>
    </row>
    <row r="131" spans="1:10" ht="18" customHeight="1">
      <c r="A131" s="131" t="s">
        <v>29</v>
      </c>
      <c r="B131" s="151">
        <v>2014</v>
      </c>
      <c r="C131" s="148">
        <f>F131+F132+F133+F134+F135+F136+F137</f>
        <v>488</v>
      </c>
      <c r="D131" s="31"/>
      <c r="E131" s="38"/>
      <c r="F131" s="6">
        <v>67</v>
      </c>
      <c r="G131" s="5"/>
      <c r="H131" s="4" t="s">
        <v>9</v>
      </c>
      <c r="I131" s="145" t="s">
        <v>30</v>
      </c>
      <c r="J131" s="72"/>
    </row>
    <row r="132" spans="1:10" ht="18" customHeight="1">
      <c r="A132" s="132"/>
      <c r="B132" s="152"/>
      <c r="C132" s="149"/>
      <c r="D132" s="34"/>
      <c r="E132" s="38"/>
      <c r="F132" s="6">
        <f>45-9</f>
        <v>36</v>
      </c>
      <c r="G132" s="5"/>
      <c r="H132" s="4" t="s">
        <v>10</v>
      </c>
      <c r="I132" s="146"/>
      <c r="J132" s="72"/>
    </row>
    <row r="133" spans="1:10" ht="18" customHeight="1">
      <c r="A133" s="132"/>
      <c r="B133" s="152"/>
      <c r="C133" s="149"/>
      <c r="D133" s="34"/>
      <c r="E133" s="38"/>
      <c r="F133" s="6">
        <v>80</v>
      </c>
      <c r="G133" s="5"/>
      <c r="H133" s="4" t="s">
        <v>14</v>
      </c>
      <c r="I133" s="146"/>
      <c r="J133" s="72"/>
    </row>
    <row r="134" spans="1:10" ht="18" customHeight="1">
      <c r="A134" s="132"/>
      <c r="B134" s="152"/>
      <c r="C134" s="149"/>
      <c r="D134" s="34"/>
      <c r="E134" s="38"/>
      <c r="F134" s="6">
        <v>63</v>
      </c>
      <c r="G134" s="5"/>
      <c r="H134" s="4" t="s">
        <v>11</v>
      </c>
      <c r="I134" s="146"/>
      <c r="J134" s="72"/>
    </row>
    <row r="135" spans="1:10" ht="18" customHeight="1">
      <c r="A135" s="132"/>
      <c r="B135" s="152"/>
      <c r="C135" s="149"/>
      <c r="D135" s="34"/>
      <c r="E135" s="38"/>
      <c r="F135" s="6">
        <v>75</v>
      </c>
      <c r="G135" s="5"/>
      <c r="H135" s="4" t="s">
        <v>12</v>
      </c>
      <c r="I135" s="146"/>
      <c r="J135" s="72">
        <v>225</v>
      </c>
    </row>
    <row r="136" spans="1:10" ht="18" customHeight="1">
      <c r="A136" s="132"/>
      <c r="B136" s="152"/>
      <c r="C136" s="149"/>
      <c r="D136" s="34"/>
      <c r="E136" s="38"/>
      <c r="F136" s="6">
        <v>65</v>
      </c>
      <c r="G136" s="5"/>
      <c r="H136" s="4" t="s">
        <v>15</v>
      </c>
      <c r="I136" s="146"/>
      <c r="J136" s="72"/>
    </row>
    <row r="137" spans="1:10" ht="18" customHeight="1">
      <c r="A137" s="132"/>
      <c r="B137" s="153"/>
      <c r="C137" s="150"/>
      <c r="D137" s="35"/>
      <c r="E137" s="38"/>
      <c r="F137" s="6">
        <f>110-8</f>
        <v>102</v>
      </c>
      <c r="G137" s="5"/>
      <c r="H137" s="4" t="s">
        <v>13</v>
      </c>
      <c r="I137" s="146"/>
      <c r="J137" s="72"/>
    </row>
    <row r="138" spans="1:10" ht="18" customHeight="1">
      <c r="A138" s="132"/>
      <c r="B138" s="151">
        <v>2015</v>
      </c>
      <c r="C138" s="142">
        <f>SUM(F138:F144)</f>
        <v>487.48418000000004</v>
      </c>
      <c r="D138" s="31"/>
      <c r="E138" s="42"/>
      <c r="F138" s="6">
        <v>54</v>
      </c>
      <c r="G138" s="5"/>
      <c r="H138" s="4" t="s">
        <v>9</v>
      </c>
      <c r="I138" s="146"/>
      <c r="J138" s="72"/>
    </row>
    <row r="139" spans="1:10" ht="18" customHeight="1">
      <c r="A139" s="132"/>
      <c r="B139" s="152"/>
      <c r="C139" s="143"/>
      <c r="D139" s="34"/>
      <c r="E139" s="42"/>
      <c r="F139" s="6">
        <v>36</v>
      </c>
      <c r="G139" s="5"/>
      <c r="H139" s="4" t="s">
        <v>10</v>
      </c>
      <c r="I139" s="146"/>
      <c r="J139" s="72"/>
    </row>
    <row r="140" spans="1:10" ht="17.25" customHeight="1">
      <c r="A140" s="132"/>
      <c r="B140" s="152"/>
      <c r="C140" s="143"/>
      <c r="D140" s="34"/>
      <c r="E140" s="42"/>
      <c r="F140" s="6">
        <f>80-48.243</f>
        <v>31.756999999999998</v>
      </c>
      <c r="G140" s="5"/>
      <c r="H140" s="4" t="s">
        <v>14</v>
      </c>
      <c r="I140" s="146"/>
      <c r="J140" s="72"/>
    </row>
    <row r="141" spans="1:10" ht="18" customHeight="1">
      <c r="A141" s="132"/>
      <c r="B141" s="152"/>
      <c r="C141" s="143"/>
      <c r="D141" s="34"/>
      <c r="E141" s="42"/>
      <c r="F141" s="6">
        <v>68.394</v>
      </c>
      <c r="G141" s="5"/>
      <c r="H141" s="4" t="s">
        <v>11</v>
      </c>
      <c r="I141" s="146"/>
      <c r="J141" s="72"/>
    </row>
    <row r="142" spans="1:10" ht="18" customHeight="1">
      <c r="A142" s="132"/>
      <c r="B142" s="152"/>
      <c r="C142" s="143"/>
      <c r="D142" s="34"/>
      <c r="E142" s="42"/>
      <c r="F142" s="6">
        <f>74.95-3.46982</f>
        <v>71.48018</v>
      </c>
      <c r="G142" s="5"/>
      <c r="H142" s="4" t="s">
        <v>12</v>
      </c>
      <c r="I142" s="146"/>
      <c r="J142" s="72"/>
    </row>
    <row r="143" spans="1:10" ht="18" customHeight="1">
      <c r="A143" s="132"/>
      <c r="B143" s="152"/>
      <c r="C143" s="143"/>
      <c r="D143" s="34"/>
      <c r="E143" s="42"/>
      <c r="F143" s="6">
        <f>75+10.853</f>
        <v>85.853</v>
      </c>
      <c r="G143" s="5"/>
      <c r="H143" s="4" t="s">
        <v>15</v>
      </c>
      <c r="I143" s="146"/>
      <c r="J143" s="72"/>
    </row>
    <row r="144" spans="1:10" ht="18" customHeight="1">
      <c r="A144" s="132"/>
      <c r="B144" s="153"/>
      <c r="C144" s="144"/>
      <c r="D144" s="35"/>
      <c r="E144" s="42"/>
      <c r="F144" s="6">
        <f>120+20</f>
        <v>140</v>
      </c>
      <c r="G144" s="5"/>
      <c r="H144" s="4" t="s">
        <v>13</v>
      </c>
      <c r="I144" s="146"/>
      <c r="J144" s="72"/>
    </row>
    <row r="145" spans="1:10" ht="18" customHeight="1">
      <c r="A145" s="132"/>
      <c r="B145" s="151">
        <v>2016</v>
      </c>
      <c r="C145" s="142">
        <f>SUM(F145:F151)</f>
        <v>497.32241999999997</v>
      </c>
      <c r="D145" s="31"/>
      <c r="E145" s="42"/>
      <c r="F145" s="6">
        <f>67-2-2.6</f>
        <v>62.4</v>
      </c>
      <c r="G145" s="5"/>
      <c r="H145" s="4" t="s">
        <v>9</v>
      </c>
      <c r="I145" s="146"/>
      <c r="J145" s="72"/>
    </row>
    <row r="146" spans="1:10" ht="18" customHeight="1">
      <c r="A146" s="132"/>
      <c r="B146" s="152"/>
      <c r="C146" s="143"/>
      <c r="D146" s="34"/>
      <c r="E146" s="42"/>
      <c r="F146" s="6">
        <f>45-9</f>
        <v>36</v>
      </c>
      <c r="G146" s="5"/>
      <c r="H146" s="4" t="s">
        <v>10</v>
      </c>
      <c r="I146" s="146"/>
      <c r="J146" s="72"/>
    </row>
    <row r="147" spans="1:10" ht="18" customHeight="1">
      <c r="A147" s="132"/>
      <c r="B147" s="152"/>
      <c r="C147" s="143"/>
      <c r="D147" s="34"/>
      <c r="E147" s="42"/>
      <c r="F147" s="21">
        <f>115-2.8981-21.2-12-7.54-1</f>
        <v>70.36189999999999</v>
      </c>
      <c r="G147" s="5"/>
      <c r="H147" s="4" t="s">
        <v>14</v>
      </c>
      <c r="I147" s="146"/>
      <c r="J147" s="72"/>
    </row>
    <row r="148" spans="1:10" ht="18" customHeight="1">
      <c r="A148" s="132"/>
      <c r="B148" s="152"/>
      <c r="C148" s="143"/>
      <c r="D148" s="34"/>
      <c r="E148" s="42"/>
      <c r="F148" s="21">
        <f>63-1.07128-0.39872</f>
        <v>61.53</v>
      </c>
      <c r="G148" s="5"/>
      <c r="H148" s="4" t="s">
        <v>11</v>
      </c>
      <c r="I148" s="146"/>
      <c r="J148" s="72"/>
    </row>
    <row r="149" spans="1:10" ht="18" customHeight="1">
      <c r="A149" s="132"/>
      <c r="B149" s="152"/>
      <c r="C149" s="143"/>
      <c r="D149" s="34"/>
      <c r="E149" s="42"/>
      <c r="F149" s="22">
        <f>110-15.71948</f>
        <v>94.28052</v>
      </c>
      <c r="G149" s="5"/>
      <c r="H149" s="4" t="s">
        <v>12</v>
      </c>
      <c r="I149" s="146"/>
      <c r="J149" s="72"/>
    </row>
    <row r="150" spans="1:10" ht="18" customHeight="1">
      <c r="A150" s="132"/>
      <c r="B150" s="152"/>
      <c r="C150" s="143"/>
      <c r="D150" s="34"/>
      <c r="E150" s="42"/>
      <c r="F150" s="6">
        <f>65+10-2.25</f>
        <v>72.75</v>
      </c>
      <c r="G150" s="5"/>
      <c r="H150" s="4" t="s">
        <v>15</v>
      </c>
      <c r="I150" s="146"/>
      <c r="J150" s="72"/>
    </row>
    <row r="151" spans="1:10" ht="18" customHeight="1">
      <c r="A151" s="133"/>
      <c r="B151" s="153"/>
      <c r="C151" s="144"/>
      <c r="D151" s="35"/>
      <c r="E151" s="42"/>
      <c r="F151" s="6">
        <f>110-10</f>
        <v>100</v>
      </c>
      <c r="G151" s="5"/>
      <c r="H151" s="4" t="s">
        <v>13</v>
      </c>
      <c r="I151" s="147"/>
      <c r="J151" s="72"/>
    </row>
    <row r="152" spans="1:10" ht="16.5" customHeight="1">
      <c r="A152" s="131" t="s">
        <v>48</v>
      </c>
      <c r="B152" s="151">
        <v>2014</v>
      </c>
      <c r="C152" s="148">
        <f>F152+F153+F154+F155+F156+F157+F158+E152+E153+E154+E155+E156+E157+E158</f>
        <v>105.9</v>
      </c>
      <c r="D152" s="31"/>
      <c r="E152" s="6">
        <v>5.6</v>
      </c>
      <c r="F152" s="6">
        <v>8.8</v>
      </c>
      <c r="G152" s="5"/>
      <c r="H152" s="4" t="s">
        <v>9</v>
      </c>
      <c r="I152" s="145" t="s">
        <v>36</v>
      </c>
      <c r="J152" s="72"/>
    </row>
    <row r="153" spans="1:10" ht="13.5" customHeight="1">
      <c r="A153" s="132"/>
      <c r="B153" s="152"/>
      <c r="C153" s="149"/>
      <c r="D153" s="34"/>
      <c r="E153" s="6">
        <f>6.7-1.2</f>
        <v>5.5</v>
      </c>
      <c r="F153" s="6">
        <v>7.7</v>
      </c>
      <c r="G153" s="5"/>
      <c r="H153" s="4" t="s">
        <v>10</v>
      </c>
      <c r="I153" s="146"/>
      <c r="J153" s="72"/>
    </row>
    <row r="154" spans="1:10" ht="15" customHeight="1">
      <c r="A154" s="132"/>
      <c r="B154" s="152"/>
      <c r="C154" s="149"/>
      <c r="D154" s="34"/>
      <c r="E154" s="6">
        <f>6.7-5.5</f>
        <v>1.2000000000000002</v>
      </c>
      <c r="F154" s="6">
        <v>7.7</v>
      </c>
      <c r="G154" s="5"/>
      <c r="H154" s="4" t="s">
        <v>14</v>
      </c>
      <c r="I154" s="146"/>
      <c r="J154" s="72"/>
    </row>
    <row r="155" spans="1:10" ht="18.75" customHeight="1">
      <c r="A155" s="132"/>
      <c r="B155" s="152"/>
      <c r="C155" s="149"/>
      <c r="D155" s="34"/>
      <c r="E155" s="6">
        <v>6.7</v>
      </c>
      <c r="F155" s="6">
        <v>7.7</v>
      </c>
      <c r="G155" s="5"/>
      <c r="H155" s="4" t="s">
        <v>11</v>
      </c>
      <c r="I155" s="146"/>
      <c r="J155" s="72"/>
    </row>
    <row r="156" spans="1:10" ht="18.75" customHeight="1">
      <c r="A156" s="132"/>
      <c r="B156" s="152"/>
      <c r="C156" s="149"/>
      <c r="D156" s="34"/>
      <c r="E156" s="6">
        <f>6.7-1.2</f>
        <v>5.5</v>
      </c>
      <c r="F156" s="6">
        <v>7.7</v>
      </c>
      <c r="G156" s="5"/>
      <c r="H156" s="4" t="s">
        <v>12</v>
      </c>
      <c r="I156" s="146"/>
      <c r="J156" s="72"/>
    </row>
    <row r="157" spans="1:10" ht="18.75" customHeight="1">
      <c r="A157" s="132"/>
      <c r="B157" s="152"/>
      <c r="C157" s="149"/>
      <c r="D157" s="34"/>
      <c r="E157" s="6">
        <f>6.7-1.2</f>
        <v>5.5</v>
      </c>
      <c r="F157" s="6">
        <v>7.7</v>
      </c>
      <c r="G157" s="5"/>
      <c r="H157" s="4" t="s">
        <v>18</v>
      </c>
      <c r="I157" s="146"/>
      <c r="J157" s="72">
        <v>225</v>
      </c>
    </row>
    <row r="158" spans="1:10" ht="18.75" customHeight="1">
      <c r="A158" s="132"/>
      <c r="B158" s="153"/>
      <c r="C158" s="150"/>
      <c r="D158" s="35"/>
      <c r="E158" s="6">
        <f>35-21.8</f>
        <v>13.2</v>
      </c>
      <c r="F158" s="6">
        <v>15.4</v>
      </c>
      <c r="G158" s="5"/>
      <c r="H158" s="4" t="s">
        <v>13</v>
      </c>
      <c r="I158" s="146"/>
      <c r="J158" s="72"/>
    </row>
    <row r="159" spans="1:10" ht="18.75" customHeight="1">
      <c r="A159" s="132"/>
      <c r="B159" s="151">
        <v>2015</v>
      </c>
      <c r="C159" s="142">
        <f>SUM(F159:F165)</f>
        <v>174.461</v>
      </c>
      <c r="D159" s="31"/>
      <c r="E159" s="42"/>
      <c r="F159" s="6">
        <v>15.6</v>
      </c>
      <c r="G159" s="5"/>
      <c r="H159" s="4" t="s">
        <v>9</v>
      </c>
      <c r="I159" s="146"/>
      <c r="J159" s="72"/>
    </row>
    <row r="160" spans="1:10" ht="18.75" customHeight="1">
      <c r="A160" s="132"/>
      <c r="B160" s="152"/>
      <c r="C160" s="143"/>
      <c r="D160" s="34"/>
      <c r="E160" s="42"/>
      <c r="F160" s="6">
        <v>14.463</v>
      </c>
      <c r="G160" s="5"/>
      <c r="H160" s="4" t="s">
        <v>10</v>
      </c>
      <c r="I160" s="146"/>
      <c r="J160" s="72"/>
    </row>
    <row r="161" spans="1:10" s="11" customFormat="1" ht="16.5" customHeight="1">
      <c r="A161" s="132"/>
      <c r="B161" s="152"/>
      <c r="C161" s="143"/>
      <c r="D161" s="34"/>
      <c r="E161" s="44"/>
      <c r="F161" s="75">
        <f>14.4+12</f>
        <v>26.4</v>
      </c>
      <c r="G161" s="10"/>
      <c r="H161" s="4" t="s">
        <v>14</v>
      </c>
      <c r="I161" s="146"/>
      <c r="J161" s="73"/>
    </row>
    <row r="162" spans="1:10" s="11" customFormat="1" ht="16.5" customHeight="1">
      <c r="A162" s="132"/>
      <c r="B162" s="152"/>
      <c r="C162" s="143"/>
      <c r="D162" s="34"/>
      <c r="E162" s="44"/>
      <c r="F162" s="6">
        <v>26.4</v>
      </c>
      <c r="G162" s="10"/>
      <c r="H162" s="4" t="s">
        <v>11</v>
      </c>
      <c r="I162" s="146"/>
      <c r="J162" s="73"/>
    </row>
    <row r="163" spans="1:10" s="11" customFormat="1" ht="16.5" customHeight="1">
      <c r="A163" s="132"/>
      <c r="B163" s="152"/>
      <c r="C163" s="143"/>
      <c r="D163" s="34"/>
      <c r="E163" s="44"/>
      <c r="F163" s="6">
        <v>14.4</v>
      </c>
      <c r="G163" s="10"/>
      <c r="H163" s="4" t="s">
        <v>12</v>
      </c>
      <c r="I163" s="146"/>
      <c r="J163" s="73"/>
    </row>
    <row r="164" spans="1:11" s="11" customFormat="1" ht="16.5" customHeight="1">
      <c r="A164" s="132"/>
      <c r="B164" s="152"/>
      <c r="C164" s="143"/>
      <c r="D164" s="34"/>
      <c r="E164" s="44"/>
      <c r="F164" s="6">
        <v>26.4</v>
      </c>
      <c r="G164" s="10"/>
      <c r="H164" s="4" t="s">
        <v>18</v>
      </c>
      <c r="I164" s="146"/>
      <c r="J164" s="73"/>
      <c r="K164" s="7"/>
    </row>
    <row r="165" spans="1:10" s="11" customFormat="1" ht="16.5" customHeight="1">
      <c r="A165" s="132"/>
      <c r="B165" s="153"/>
      <c r="C165" s="144"/>
      <c r="D165" s="35"/>
      <c r="E165" s="44"/>
      <c r="F165" s="6">
        <v>50.798</v>
      </c>
      <c r="G165" s="10"/>
      <c r="H165" s="4" t="s">
        <v>13</v>
      </c>
      <c r="I165" s="146"/>
      <c r="J165" s="73"/>
    </row>
    <row r="166" spans="1:10" s="11" customFormat="1" ht="16.5" customHeight="1">
      <c r="A166" s="132"/>
      <c r="B166" s="151">
        <v>2016</v>
      </c>
      <c r="C166" s="148">
        <f>SUM(F166:F172)</f>
        <v>248.44800000000004</v>
      </c>
      <c r="D166" s="31"/>
      <c r="E166" s="44"/>
      <c r="F166" s="6">
        <f>14.4+12+50-8</f>
        <v>68.4</v>
      </c>
      <c r="G166" s="10"/>
      <c r="H166" s="4" t="s">
        <v>9</v>
      </c>
      <c r="I166" s="146"/>
      <c r="J166" s="73"/>
    </row>
    <row r="167" spans="1:10" s="11" customFormat="1" ht="16.5" customHeight="1">
      <c r="A167" s="132"/>
      <c r="B167" s="152"/>
      <c r="C167" s="149"/>
      <c r="D167" s="34"/>
      <c r="E167" s="44"/>
      <c r="F167" s="6">
        <f>14.4+18.056+1.192</f>
        <v>33.648</v>
      </c>
      <c r="G167" s="10"/>
      <c r="H167" s="4" t="s">
        <v>10</v>
      </c>
      <c r="I167" s="146"/>
      <c r="J167" s="73"/>
    </row>
    <row r="168" spans="1:10" s="11" customFormat="1" ht="16.5" customHeight="1">
      <c r="A168" s="132"/>
      <c r="B168" s="152"/>
      <c r="C168" s="149"/>
      <c r="D168" s="34"/>
      <c r="E168" s="44"/>
      <c r="F168" s="6">
        <f>14.4+12</f>
        <v>26.4</v>
      </c>
      <c r="G168" s="10"/>
      <c r="H168" s="4" t="s">
        <v>14</v>
      </c>
      <c r="I168" s="146"/>
      <c r="J168" s="73"/>
    </row>
    <row r="169" spans="1:10" s="11" customFormat="1" ht="16.5" customHeight="1">
      <c r="A169" s="132"/>
      <c r="B169" s="152"/>
      <c r="C169" s="149"/>
      <c r="D169" s="34"/>
      <c r="E169" s="44"/>
      <c r="F169" s="6">
        <f>14.4+12</f>
        <v>26.4</v>
      </c>
      <c r="G169" s="10"/>
      <c r="H169" s="4" t="s">
        <v>11</v>
      </c>
      <c r="I169" s="146"/>
      <c r="J169" s="73"/>
    </row>
    <row r="170" spans="1:10" s="11" customFormat="1" ht="16.5" customHeight="1">
      <c r="A170" s="132"/>
      <c r="B170" s="152"/>
      <c r="C170" s="149"/>
      <c r="D170" s="34"/>
      <c r="E170" s="44"/>
      <c r="F170" s="6">
        <v>14.4</v>
      </c>
      <c r="G170" s="10"/>
      <c r="H170" s="4" t="s">
        <v>12</v>
      </c>
      <c r="I170" s="146"/>
      <c r="J170" s="73"/>
    </row>
    <row r="171" spans="1:10" s="11" customFormat="1" ht="16.5" customHeight="1">
      <c r="A171" s="132"/>
      <c r="B171" s="152"/>
      <c r="C171" s="149"/>
      <c r="D171" s="34"/>
      <c r="E171" s="44"/>
      <c r="F171" s="6">
        <f>14.4+12</f>
        <v>26.4</v>
      </c>
      <c r="G171" s="10"/>
      <c r="H171" s="4" t="s">
        <v>18</v>
      </c>
      <c r="I171" s="146"/>
      <c r="J171" s="73"/>
    </row>
    <row r="172" spans="1:10" s="11" customFormat="1" ht="16.5" customHeight="1">
      <c r="A172" s="133"/>
      <c r="B172" s="153"/>
      <c r="C172" s="150"/>
      <c r="D172" s="35"/>
      <c r="E172" s="44"/>
      <c r="F172" s="6">
        <f>50.4+2.4</f>
        <v>52.8</v>
      </c>
      <c r="G172" s="10"/>
      <c r="H172" s="4" t="s">
        <v>13</v>
      </c>
      <c r="I172" s="147"/>
      <c r="J172" s="73"/>
    </row>
    <row r="173" spans="1:10" ht="16.5" customHeight="1">
      <c r="A173" s="131" t="s">
        <v>78</v>
      </c>
      <c r="B173" s="151">
        <v>2015</v>
      </c>
      <c r="C173" s="142">
        <f>F173+F177</f>
        <v>40.17855</v>
      </c>
      <c r="D173" s="31"/>
      <c r="E173" s="194"/>
      <c r="F173" s="192">
        <v>0</v>
      </c>
      <c r="G173" s="189"/>
      <c r="H173" s="145" t="s">
        <v>18</v>
      </c>
      <c r="I173" s="189" t="s">
        <v>25</v>
      </c>
      <c r="J173" s="72"/>
    </row>
    <row r="174" spans="1:10" ht="16.5" customHeight="1">
      <c r="A174" s="132"/>
      <c r="B174" s="152"/>
      <c r="C174" s="143"/>
      <c r="D174" s="34"/>
      <c r="E174" s="195"/>
      <c r="F174" s="197"/>
      <c r="G174" s="190"/>
      <c r="H174" s="146"/>
      <c r="I174" s="190"/>
      <c r="J174" s="72"/>
    </row>
    <row r="175" spans="1:10" ht="12.75" customHeight="1">
      <c r="A175" s="132"/>
      <c r="B175" s="152"/>
      <c r="C175" s="143"/>
      <c r="D175" s="34"/>
      <c r="E175" s="195"/>
      <c r="F175" s="197"/>
      <c r="G175" s="190"/>
      <c r="H175" s="146"/>
      <c r="I175" s="190"/>
      <c r="J175" s="72"/>
    </row>
    <row r="176" spans="1:10" ht="20.25" customHeight="1">
      <c r="A176" s="132"/>
      <c r="B176" s="152"/>
      <c r="C176" s="143"/>
      <c r="D176" s="35"/>
      <c r="E176" s="196"/>
      <c r="F176" s="193"/>
      <c r="G176" s="191"/>
      <c r="H176" s="147"/>
      <c r="I176" s="190"/>
      <c r="J176" s="72"/>
    </row>
    <row r="177" spans="1:10" ht="45" customHeight="1">
      <c r="A177" s="133"/>
      <c r="B177" s="153"/>
      <c r="C177" s="144"/>
      <c r="D177" s="9"/>
      <c r="E177" s="38"/>
      <c r="F177" s="22">
        <f>40+0.17855</f>
        <v>40.17855</v>
      </c>
      <c r="G177" s="14"/>
      <c r="H177" s="20" t="s">
        <v>58</v>
      </c>
      <c r="I177" s="191"/>
      <c r="J177" s="72"/>
    </row>
    <row r="178" spans="1:10" ht="129.75" customHeight="1">
      <c r="A178" s="131" t="s">
        <v>90</v>
      </c>
      <c r="B178" s="8">
        <v>2015</v>
      </c>
      <c r="C178" s="9">
        <f>F178</f>
        <v>15</v>
      </c>
      <c r="D178" s="9"/>
      <c r="E178" s="38"/>
      <c r="F178" s="6">
        <v>15</v>
      </c>
      <c r="G178" s="14"/>
      <c r="H178" s="4" t="s">
        <v>10</v>
      </c>
      <c r="I178" s="14"/>
      <c r="J178" s="72"/>
    </row>
    <row r="179" spans="1:10" ht="129.75" customHeight="1">
      <c r="A179" s="133"/>
      <c r="B179" s="8">
        <v>2016</v>
      </c>
      <c r="C179" s="9">
        <f>F179</f>
        <v>8</v>
      </c>
      <c r="D179" s="9"/>
      <c r="E179" s="38"/>
      <c r="F179" s="6">
        <v>8</v>
      </c>
      <c r="G179" s="14"/>
      <c r="H179" s="4" t="s">
        <v>9</v>
      </c>
      <c r="I179" s="14"/>
      <c r="J179" s="72"/>
    </row>
    <row r="180" spans="1:10" ht="22.5" customHeight="1">
      <c r="A180" s="186" t="s">
        <v>76</v>
      </c>
      <c r="B180" s="187"/>
      <c r="C180" s="187"/>
      <c r="D180" s="187"/>
      <c r="E180" s="187"/>
      <c r="F180" s="187"/>
      <c r="G180" s="187"/>
      <c r="H180" s="187"/>
      <c r="I180" s="188"/>
      <c r="J180" s="72"/>
    </row>
    <row r="181" spans="1:10" ht="21" customHeight="1">
      <c r="A181" s="176" t="s">
        <v>79</v>
      </c>
      <c r="B181" s="177"/>
      <c r="C181" s="177"/>
      <c r="D181" s="177"/>
      <c r="E181" s="177"/>
      <c r="F181" s="177"/>
      <c r="G181" s="177"/>
      <c r="H181" s="177"/>
      <c r="I181" s="178"/>
      <c r="J181" s="72"/>
    </row>
    <row r="182" spans="1:10" ht="18.75" customHeight="1">
      <c r="A182" s="179" t="s">
        <v>81</v>
      </c>
      <c r="B182" s="180"/>
      <c r="C182" s="180"/>
      <c r="D182" s="180"/>
      <c r="E182" s="180"/>
      <c r="F182" s="180"/>
      <c r="G182" s="180"/>
      <c r="H182" s="180"/>
      <c r="I182" s="181"/>
      <c r="J182" s="72"/>
    </row>
    <row r="183" spans="1:10" ht="18">
      <c r="A183" s="13" t="s">
        <v>8</v>
      </c>
      <c r="B183" s="8"/>
      <c r="C183" s="8"/>
      <c r="D183" s="8"/>
      <c r="E183" s="42"/>
      <c r="F183" s="14"/>
      <c r="G183" s="5"/>
      <c r="H183" s="20"/>
      <c r="I183" s="14"/>
      <c r="J183" s="72"/>
    </row>
    <row r="184" spans="1:10" ht="20.25" customHeight="1">
      <c r="A184" s="131" t="s">
        <v>95</v>
      </c>
      <c r="B184" s="151">
        <v>2014</v>
      </c>
      <c r="C184" s="148">
        <f>F184+F185+F186+F187+F188+F189+F190+E184+E185+E186+E187+E188+E189+E190</f>
        <v>15.8</v>
      </c>
      <c r="D184" s="31"/>
      <c r="E184" s="6">
        <v>0</v>
      </c>
      <c r="F184" s="6">
        <v>0</v>
      </c>
      <c r="G184" s="5"/>
      <c r="H184" s="4" t="s">
        <v>9</v>
      </c>
      <c r="I184" s="145" t="s">
        <v>33</v>
      </c>
      <c r="J184" s="72"/>
    </row>
    <row r="185" spans="1:10" ht="20.25" customHeight="1">
      <c r="A185" s="132"/>
      <c r="B185" s="152"/>
      <c r="C185" s="149"/>
      <c r="D185" s="34"/>
      <c r="E185" s="6">
        <f>4+8.8</f>
        <v>12.8</v>
      </c>
      <c r="F185" s="6">
        <v>0</v>
      </c>
      <c r="G185" s="5"/>
      <c r="H185" s="4" t="s">
        <v>10</v>
      </c>
      <c r="I185" s="146"/>
      <c r="J185" s="72"/>
    </row>
    <row r="186" spans="1:10" ht="20.25" customHeight="1">
      <c r="A186" s="132"/>
      <c r="B186" s="152"/>
      <c r="C186" s="149"/>
      <c r="D186" s="34"/>
      <c r="E186" s="6">
        <v>0</v>
      </c>
      <c r="F186" s="6">
        <v>0</v>
      </c>
      <c r="G186" s="5"/>
      <c r="H186" s="4" t="s">
        <v>14</v>
      </c>
      <c r="I186" s="146"/>
      <c r="J186" s="72"/>
    </row>
    <row r="187" spans="1:10" ht="16.5" customHeight="1">
      <c r="A187" s="132"/>
      <c r="B187" s="152"/>
      <c r="C187" s="149"/>
      <c r="D187" s="34"/>
      <c r="E187" s="6">
        <v>3</v>
      </c>
      <c r="F187" s="6">
        <v>0</v>
      </c>
      <c r="G187" s="5"/>
      <c r="H187" s="4" t="s">
        <v>11</v>
      </c>
      <c r="I187" s="146"/>
      <c r="J187" s="72">
        <v>225</v>
      </c>
    </row>
    <row r="188" spans="1:10" ht="16.5" customHeight="1">
      <c r="A188" s="132"/>
      <c r="B188" s="152"/>
      <c r="C188" s="149"/>
      <c r="D188" s="34"/>
      <c r="E188" s="6">
        <v>0</v>
      </c>
      <c r="F188" s="6">
        <v>0</v>
      </c>
      <c r="G188" s="5"/>
      <c r="H188" s="4" t="s">
        <v>12</v>
      </c>
      <c r="I188" s="146"/>
      <c r="J188" s="72"/>
    </row>
    <row r="189" spans="1:10" ht="16.5" customHeight="1">
      <c r="A189" s="132"/>
      <c r="B189" s="152"/>
      <c r="C189" s="149"/>
      <c r="D189" s="34"/>
      <c r="E189" s="6">
        <v>0</v>
      </c>
      <c r="F189" s="6">
        <v>0</v>
      </c>
      <c r="G189" s="5"/>
      <c r="H189" s="4" t="s">
        <v>15</v>
      </c>
      <c r="I189" s="146"/>
      <c r="J189" s="72"/>
    </row>
    <row r="190" spans="1:10" ht="16.5" customHeight="1">
      <c r="A190" s="132"/>
      <c r="B190" s="153"/>
      <c r="C190" s="150"/>
      <c r="D190" s="35"/>
      <c r="E190" s="6">
        <v>0</v>
      </c>
      <c r="F190" s="6">
        <v>0</v>
      </c>
      <c r="G190" s="5"/>
      <c r="H190" s="4" t="s">
        <v>13</v>
      </c>
      <c r="I190" s="146"/>
      <c r="J190" s="72"/>
    </row>
    <row r="191" spans="1:10" ht="16.5" customHeight="1">
      <c r="A191" s="132"/>
      <c r="B191" s="151">
        <v>2015</v>
      </c>
      <c r="C191" s="148">
        <f>SUM(F191:F197)</f>
        <v>33.32</v>
      </c>
      <c r="D191" s="31"/>
      <c r="E191" s="42"/>
      <c r="F191" s="6">
        <v>3.32</v>
      </c>
      <c r="G191" s="5"/>
      <c r="H191" s="4" t="s">
        <v>9</v>
      </c>
      <c r="I191" s="146"/>
      <c r="J191" s="72"/>
    </row>
    <row r="192" spans="1:10" ht="16.5" customHeight="1">
      <c r="A192" s="132"/>
      <c r="B192" s="152"/>
      <c r="C192" s="149"/>
      <c r="D192" s="34"/>
      <c r="E192" s="42"/>
      <c r="F192" s="6">
        <v>19</v>
      </c>
      <c r="G192" s="5"/>
      <c r="H192" s="4" t="s">
        <v>10</v>
      </c>
      <c r="I192" s="146"/>
      <c r="J192" s="72"/>
    </row>
    <row r="193" spans="1:10" ht="16.5" customHeight="1">
      <c r="A193" s="132"/>
      <c r="B193" s="152"/>
      <c r="C193" s="149"/>
      <c r="D193" s="34"/>
      <c r="E193" s="42"/>
      <c r="F193" s="75">
        <f>4-4</f>
        <v>0</v>
      </c>
      <c r="G193" s="5"/>
      <c r="H193" s="4" t="s">
        <v>14</v>
      </c>
      <c r="I193" s="146"/>
      <c r="J193" s="72"/>
    </row>
    <row r="194" spans="1:10" ht="16.5" customHeight="1">
      <c r="A194" s="132"/>
      <c r="B194" s="152"/>
      <c r="C194" s="149"/>
      <c r="D194" s="34"/>
      <c r="E194" s="42"/>
      <c r="F194" s="6">
        <f>3+0.5</f>
        <v>3.5</v>
      </c>
      <c r="G194" s="5"/>
      <c r="H194" s="4" t="s">
        <v>11</v>
      </c>
      <c r="I194" s="146"/>
      <c r="J194" s="72"/>
    </row>
    <row r="195" spans="1:10" ht="16.5" customHeight="1">
      <c r="A195" s="132"/>
      <c r="B195" s="152"/>
      <c r="C195" s="149"/>
      <c r="D195" s="34"/>
      <c r="E195" s="42"/>
      <c r="F195" s="6">
        <v>3.5</v>
      </c>
      <c r="G195" s="5"/>
      <c r="H195" s="4" t="s">
        <v>12</v>
      </c>
      <c r="I195" s="146"/>
      <c r="J195" s="72"/>
    </row>
    <row r="196" spans="1:10" ht="16.5" customHeight="1">
      <c r="A196" s="132"/>
      <c r="B196" s="152"/>
      <c r="C196" s="149"/>
      <c r="D196" s="34"/>
      <c r="E196" s="42"/>
      <c r="F196" s="6">
        <v>0</v>
      </c>
      <c r="G196" s="5"/>
      <c r="H196" s="4" t="s">
        <v>15</v>
      </c>
      <c r="I196" s="146"/>
      <c r="J196" s="72"/>
    </row>
    <row r="197" spans="1:10" ht="16.5" customHeight="1">
      <c r="A197" s="132"/>
      <c r="B197" s="153"/>
      <c r="C197" s="150"/>
      <c r="D197" s="35"/>
      <c r="E197" s="42"/>
      <c r="F197" s="6">
        <v>4</v>
      </c>
      <c r="G197" s="5"/>
      <c r="H197" s="4" t="s">
        <v>13</v>
      </c>
      <c r="I197" s="146"/>
      <c r="J197" s="72"/>
    </row>
    <row r="198" spans="1:10" ht="16.5" customHeight="1">
      <c r="A198" s="132"/>
      <c r="B198" s="151">
        <v>2016</v>
      </c>
      <c r="C198" s="148">
        <f>SUM(F198:F204)</f>
        <v>23</v>
      </c>
      <c r="D198" s="31"/>
      <c r="E198" s="42"/>
      <c r="F198" s="6">
        <v>2</v>
      </c>
      <c r="G198" s="5"/>
      <c r="H198" s="4" t="s">
        <v>9</v>
      </c>
      <c r="I198" s="146"/>
      <c r="J198" s="72"/>
    </row>
    <row r="199" spans="1:10" ht="16.5" customHeight="1">
      <c r="A199" s="132"/>
      <c r="B199" s="152"/>
      <c r="C199" s="149"/>
      <c r="D199" s="34"/>
      <c r="E199" s="42"/>
      <c r="F199" s="6">
        <v>4</v>
      </c>
      <c r="G199" s="5"/>
      <c r="H199" s="4" t="s">
        <v>10</v>
      </c>
      <c r="I199" s="146"/>
      <c r="J199" s="72"/>
    </row>
    <row r="200" spans="1:10" ht="16.5" customHeight="1">
      <c r="A200" s="132"/>
      <c r="B200" s="152"/>
      <c r="C200" s="149"/>
      <c r="D200" s="34"/>
      <c r="E200" s="42"/>
      <c r="F200" s="6">
        <f>4</f>
        <v>4</v>
      </c>
      <c r="G200" s="5"/>
      <c r="H200" s="4" t="s">
        <v>14</v>
      </c>
      <c r="I200" s="146"/>
      <c r="J200" s="72"/>
    </row>
    <row r="201" spans="1:10" ht="16.5" customHeight="1">
      <c r="A201" s="132"/>
      <c r="B201" s="152"/>
      <c r="C201" s="149"/>
      <c r="D201" s="34"/>
      <c r="E201" s="42"/>
      <c r="F201" s="6">
        <v>3</v>
      </c>
      <c r="G201" s="5"/>
      <c r="H201" s="4" t="s">
        <v>11</v>
      </c>
      <c r="I201" s="146"/>
      <c r="J201" s="72"/>
    </row>
    <row r="202" spans="1:10" ht="16.5" customHeight="1">
      <c r="A202" s="132"/>
      <c r="B202" s="152"/>
      <c r="C202" s="149"/>
      <c r="D202" s="34"/>
      <c r="E202" s="42"/>
      <c r="F202" s="6">
        <v>3.5</v>
      </c>
      <c r="G202" s="5"/>
      <c r="H202" s="4" t="s">
        <v>12</v>
      </c>
      <c r="I202" s="146"/>
      <c r="J202" s="72"/>
    </row>
    <row r="203" spans="1:10" ht="16.5" customHeight="1">
      <c r="A203" s="132"/>
      <c r="B203" s="152"/>
      <c r="C203" s="149"/>
      <c r="D203" s="34"/>
      <c r="E203" s="42"/>
      <c r="F203" s="6">
        <v>2.5</v>
      </c>
      <c r="G203" s="5"/>
      <c r="H203" s="4" t="s">
        <v>15</v>
      </c>
      <c r="I203" s="146"/>
      <c r="J203" s="72"/>
    </row>
    <row r="204" spans="1:10" ht="16.5" customHeight="1">
      <c r="A204" s="133"/>
      <c r="B204" s="153"/>
      <c r="C204" s="150"/>
      <c r="D204" s="35"/>
      <c r="E204" s="42"/>
      <c r="F204" s="6">
        <v>4</v>
      </c>
      <c r="G204" s="5"/>
      <c r="H204" s="4" t="s">
        <v>13</v>
      </c>
      <c r="I204" s="147"/>
      <c r="J204" s="72"/>
    </row>
    <row r="205" spans="1:10" ht="15.75" customHeight="1">
      <c r="A205" s="131" t="s">
        <v>49</v>
      </c>
      <c r="B205" s="151">
        <v>2014</v>
      </c>
      <c r="C205" s="148">
        <f>F205+F206+F207+F208+F209+F210+F211+E206</f>
        <v>127</v>
      </c>
      <c r="D205" s="31"/>
      <c r="E205" s="42"/>
      <c r="F205" s="6">
        <v>15</v>
      </c>
      <c r="G205" s="5"/>
      <c r="H205" s="4" t="s">
        <v>9</v>
      </c>
      <c r="I205" s="189"/>
      <c r="J205" s="72"/>
    </row>
    <row r="206" spans="1:10" ht="15.75" customHeight="1">
      <c r="A206" s="132"/>
      <c r="B206" s="152"/>
      <c r="C206" s="149"/>
      <c r="D206" s="34"/>
      <c r="E206" s="6">
        <v>20</v>
      </c>
      <c r="F206" s="6">
        <v>0</v>
      </c>
      <c r="G206" s="5"/>
      <c r="H206" s="4" t="s">
        <v>10</v>
      </c>
      <c r="I206" s="190"/>
      <c r="J206" s="72"/>
    </row>
    <row r="207" spans="1:10" ht="15.75" customHeight="1">
      <c r="A207" s="132"/>
      <c r="B207" s="152"/>
      <c r="C207" s="149"/>
      <c r="D207" s="34"/>
      <c r="E207" s="42"/>
      <c r="F207" s="6">
        <v>10</v>
      </c>
      <c r="G207" s="5"/>
      <c r="H207" s="4" t="s">
        <v>14</v>
      </c>
      <c r="I207" s="190"/>
      <c r="J207" s="72"/>
    </row>
    <row r="208" spans="1:10" ht="15.75" customHeight="1">
      <c r="A208" s="132"/>
      <c r="B208" s="152"/>
      <c r="C208" s="149"/>
      <c r="D208" s="34"/>
      <c r="E208" s="42"/>
      <c r="F208" s="6">
        <v>10</v>
      </c>
      <c r="G208" s="5"/>
      <c r="H208" s="4" t="s">
        <v>11</v>
      </c>
      <c r="I208" s="190"/>
      <c r="J208" s="72"/>
    </row>
    <row r="209" spans="1:10" ht="17.25" customHeight="1">
      <c r="A209" s="132"/>
      <c r="B209" s="152"/>
      <c r="C209" s="149"/>
      <c r="D209" s="34"/>
      <c r="E209" s="42"/>
      <c r="F209" s="6">
        <v>28</v>
      </c>
      <c r="G209" s="5"/>
      <c r="H209" s="4" t="s">
        <v>12</v>
      </c>
      <c r="I209" s="190"/>
      <c r="J209" s="72"/>
    </row>
    <row r="210" spans="1:10" ht="17.25" customHeight="1">
      <c r="A210" s="132"/>
      <c r="B210" s="152"/>
      <c r="C210" s="149"/>
      <c r="D210" s="34"/>
      <c r="E210" s="42"/>
      <c r="F210" s="6">
        <v>12</v>
      </c>
      <c r="G210" s="5"/>
      <c r="H210" s="4" t="s">
        <v>15</v>
      </c>
      <c r="I210" s="190"/>
      <c r="J210" s="72"/>
    </row>
    <row r="211" spans="1:10" ht="17.25" customHeight="1">
      <c r="A211" s="132"/>
      <c r="B211" s="153"/>
      <c r="C211" s="150"/>
      <c r="D211" s="35"/>
      <c r="E211" s="42"/>
      <c r="F211" s="6">
        <v>32</v>
      </c>
      <c r="G211" s="5"/>
      <c r="H211" s="4" t="s">
        <v>13</v>
      </c>
      <c r="I211" s="190"/>
      <c r="J211" s="72"/>
    </row>
    <row r="212" spans="1:10" ht="17.25" customHeight="1">
      <c r="A212" s="132"/>
      <c r="B212" s="151">
        <v>2015</v>
      </c>
      <c r="C212" s="142">
        <f>SUM(F212:F218)+E213</f>
        <v>124.12706</v>
      </c>
      <c r="D212" s="31"/>
      <c r="E212" s="42"/>
      <c r="F212" s="22">
        <v>14.22726</v>
      </c>
      <c r="G212" s="5"/>
      <c r="H212" s="4" t="s">
        <v>9</v>
      </c>
      <c r="I212" s="190"/>
      <c r="J212" s="72"/>
    </row>
    <row r="213" spans="1:10" ht="17.25" customHeight="1">
      <c r="A213" s="132"/>
      <c r="B213" s="152"/>
      <c r="C213" s="143"/>
      <c r="D213" s="34"/>
      <c r="E213" s="42"/>
      <c r="F213" s="22">
        <v>19.9998</v>
      </c>
      <c r="G213" s="5"/>
      <c r="H213" s="4" t="s">
        <v>10</v>
      </c>
      <c r="I213" s="190"/>
      <c r="J213" s="72">
        <v>225</v>
      </c>
    </row>
    <row r="214" spans="1:10" ht="17.25" customHeight="1">
      <c r="A214" s="132"/>
      <c r="B214" s="152"/>
      <c r="C214" s="143"/>
      <c r="D214" s="34"/>
      <c r="E214" s="42"/>
      <c r="F214" s="22">
        <f>9.95</f>
        <v>9.95</v>
      </c>
      <c r="G214" s="5"/>
      <c r="H214" s="4" t="s">
        <v>14</v>
      </c>
      <c r="I214" s="190"/>
      <c r="J214" s="72"/>
    </row>
    <row r="215" spans="1:10" ht="17.25" customHeight="1">
      <c r="A215" s="132"/>
      <c r="B215" s="152"/>
      <c r="C215" s="143"/>
      <c r="D215" s="34"/>
      <c r="E215" s="42"/>
      <c r="F215" s="22">
        <v>9.95</v>
      </c>
      <c r="G215" s="5"/>
      <c r="H215" s="4" t="s">
        <v>11</v>
      </c>
      <c r="I215" s="190"/>
      <c r="J215" s="72"/>
    </row>
    <row r="216" spans="1:10" ht="17.25" customHeight="1">
      <c r="A216" s="132"/>
      <c r="B216" s="152"/>
      <c r="C216" s="143"/>
      <c r="D216" s="34"/>
      <c r="E216" s="42"/>
      <c r="F216" s="22">
        <v>26</v>
      </c>
      <c r="G216" s="5"/>
      <c r="H216" s="4" t="s">
        <v>12</v>
      </c>
      <c r="I216" s="190"/>
      <c r="J216" s="72"/>
    </row>
    <row r="217" spans="1:10" ht="17.25" customHeight="1">
      <c r="A217" s="132"/>
      <c r="B217" s="152"/>
      <c r="C217" s="143"/>
      <c r="D217" s="34"/>
      <c r="E217" s="42"/>
      <c r="F217" s="22">
        <v>12</v>
      </c>
      <c r="G217" s="5"/>
      <c r="H217" s="4" t="s">
        <v>15</v>
      </c>
      <c r="I217" s="190"/>
      <c r="J217" s="72"/>
    </row>
    <row r="218" spans="1:10" ht="17.25" customHeight="1">
      <c r="A218" s="132"/>
      <c r="B218" s="153"/>
      <c r="C218" s="144"/>
      <c r="D218" s="35"/>
      <c r="E218" s="42"/>
      <c r="F218" s="22">
        <v>32</v>
      </c>
      <c r="G218" s="5"/>
      <c r="H218" s="4" t="s">
        <v>13</v>
      </c>
      <c r="I218" s="190"/>
      <c r="J218" s="72"/>
    </row>
    <row r="219" spans="1:10" ht="17.25" customHeight="1">
      <c r="A219" s="132"/>
      <c r="B219" s="151">
        <v>2016</v>
      </c>
      <c r="C219" s="148">
        <f>SUM(F219:F225)</f>
        <v>111</v>
      </c>
      <c r="D219" s="31"/>
      <c r="E219" s="42"/>
      <c r="F219" s="6">
        <v>15</v>
      </c>
      <c r="G219" s="5"/>
      <c r="H219" s="4" t="s">
        <v>9</v>
      </c>
      <c r="I219" s="190"/>
      <c r="J219" s="72"/>
    </row>
    <row r="220" spans="1:10" ht="17.25" customHeight="1">
      <c r="A220" s="132"/>
      <c r="B220" s="152"/>
      <c r="C220" s="149"/>
      <c r="D220" s="34"/>
      <c r="E220" s="42"/>
      <c r="F220" s="6">
        <v>20</v>
      </c>
      <c r="G220" s="5"/>
      <c r="H220" s="4" t="s">
        <v>10</v>
      </c>
      <c r="I220" s="190"/>
      <c r="J220" s="72"/>
    </row>
    <row r="221" spans="1:10" ht="17.25" customHeight="1">
      <c r="A221" s="132"/>
      <c r="B221" s="152"/>
      <c r="C221" s="149"/>
      <c r="D221" s="34"/>
      <c r="E221" s="42"/>
      <c r="F221" s="6">
        <v>10</v>
      </c>
      <c r="G221" s="5"/>
      <c r="H221" s="4" t="s">
        <v>14</v>
      </c>
      <c r="I221" s="190"/>
      <c r="J221" s="72"/>
    </row>
    <row r="222" spans="1:10" ht="17.25" customHeight="1">
      <c r="A222" s="132"/>
      <c r="B222" s="152"/>
      <c r="C222" s="149"/>
      <c r="D222" s="34"/>
      <c r="E222" s="42"/>
      <c r="F222" s="6">
        <v>10</v>
      </c>
      <c r="G222" s="5"/>
      <c r="H222" s="4" t="s">
        <v>11</v>
      </c>
      <c r="I222" s="190"/>
      <c r="J222" s="72"/>
    </row>
    <row r="223" spans="1:10" ht="17.25" customHeight="1">
      <c r="A223" s="132"/>
      <c r="B223" s="152"/>
      <c r="C223" s="149"/>
      <c r="D223" s="34"/>
      <c r="E223" s="42"/>
      <c r="F223" s="6">
        <v>28</v>
      </c>
      <c r="G223" s="5"/>
      <c r="H223" s="4" t="s">
        <v>12</v>
      </c>
      <c r="I223" s="190"/>
      <c r="J223" s="72"/>
    </row>
    <row r="224" spans="1:10" ht="17.25" customHeight="1">
      <c r="A224" s="132"/>
      <c r="B224" s="152"/>
      <c r="C224" s="149"/>
      <c r="D224" s="34"/>
      <c r="E224" s="42"/>
      <c r="F224" s="6">
        <v>12</v>
      </c>
      <c r="G224" s="5"/>
      <c r="H224" s="4" t="s">
        <v>15</v>
      </c>
      <c r="I224" s="190"/>
      <c r="J224" s="72"/>
    </row>
    <row r="225" spans="1:10" ht="17.25" customHeight="1">
      <c r="A225" s="133"/>
      <c r="B225" s="153"/>
      <c r="C225" s="150"/>
      <c r="D225" s="35"/>
      <c r="E225" s="42"/>
      <c r="F225" s="6">
        <v>16</v>
      </c>
      <c r="G225" s="5"/>
      <c r="H225" s="4" t="s">
        <v>13</v>
      </c>
      <c r="I225" s="191"/>
      <c r="J225" s="72"/>
    </row>
    <row r="226" spans="1:10" ht="27" customHeight="1">
      <c r="A226" s="131" t="s">
        <v>52</v>
      </c>
      <c r="B226" s="151">
        <v>2014</v>
      </c>
      <c r="C226" s="148">
        <f>F226+E227</f>
        <v>762</v>
      </c>
      <c r="D226" s="148"/>
      <c r="E226" s="38"/>
      <c r="F226" s="6">
        <f>70+12</f>
        <v>82</v>
      </c>
      <c r="G226" s="5"/>
      <c r="H226" s="4" t="s">
        <v>9</v>
      </c>
      <c r="I226" s="14"/>
      <c r="J226" s="72"/>
    </row>
    <row r="227" spans="1:10" ht="163.5" customHeight="1">
      <c r="A227" s="133"/>
      <c r="B227" s="153"/>
      <c r="C227" s="150"/>
      <c r="D227" s="150"/>
      <c r="E227" s="6">
        <v>680</v>
      </c>
      <c r="F227" s="6"/>
      <c r="G227" s="5"/>
      <c r="H227" s="4" t="s">
        <v>44</v>
      </c>
      <c r="I227" s="14"/>
      <c r="J227" s="72"/>
    </row>
    <row r="228" spans="1:10" ht="21" customHeight="1">
      <c r="A228" s="154" t="s">
        <v>54</v>
      </c>
      <c r="B228" s="151">
        <v>2014</v>
      </c>
      <c r="C228" s="148">
        <f>F228+F229</f>
        <v>43</v>
      </c>
      <c r="D228" s="148"/>
      <c r="E228" s="192"/>
      <c r="F228" s="6">
        <v>15</v>
      </c>
      <c r="G228" s="5"/>
      <c r="H228" s="4" t="s">
        <v>55</v>
      </c>
      <c r="I228" s="14"/>
      <c r="J228" s="72"/>
    </row>
    <row r="229" spans="1:10" ht="28.5" customHeight="1">
      <c r="A229" s="155"/>
      <c r="B229" s="153"/>
      <c r="C229" s="150"/>
      <c r="D229" s="150"/>
      <c r="E229" s="193"/>
      <c r="F229" s="6">
        <v>28</v>
      </c>
      <c r="G229" s="5"/>
      <c r="H229" s="4" t="s">
        <v>56</v>
      </c>
      <c r="I229" s="14"/>
      <c r="J229" s="72"/>
    </row>
    <row r="230" spans="1:10" ht="37.5" customHeight="1">
      <c r="A230" s="128" t="s">
        <v>59</v>
      </c>
      <c r="B230" s="151">
        <v>2015</v>
      </c>
      <c r="C230" s="159">
        <f>F230+F231</f>
        <v>61.4206</v>
      </c>
      <c r="D230" s="9"/>
      <c r="E230" s="6"/>
      <c r="F230" s="21">
        <v>61.4206</v>
      </c>
      <c r="G230" s="5"/>
      <c r="H230" s="4" t="s">
        <v>12</v>
      </c>
      <c r="I230" s="14"/>
      <c r="J230" s="72"/>
    </row>
    <row r="231" spans="1:10" ht="33" customHeight="1">
      <c r="A231" s="129"/>
      <c r="B231" s="153"/>
      <c r="C231" s="161"/>
      <c r="D231" s="9"/>
      <c r="E231" s="6"/>
      <c r="F231" s="6">
        <v>0</v>
      </c>
      <c r="G231" s="5"/>
      <c r="H231" s="4" t="s">
        <v>14</v>
      </c>
      <c r="I231" s="14"/>
      <c r="J231" s="72"/>
    </row>
    <row r="232" spans="1:10" ht="33" customHeight="1">
      <c r="A232" s="130"/>
      <c r="B232" s="87">
        <v>2016</v>
      </c>
      <c r="C232" s="110">
        <f>F232</f>
        <v>15.7</v>
      </c>
      <c r="D232" s="9"/>
      <c r="E232" s="6"/>
      <c r="F232" s="6">
        <v>15.7</v>
      </c>
      <c r="G232" s="5"/>
      <c r="H232" s="4" t="s">
        <v>12</v>
      </c>
      <c r="I232" s="14"/>
      <c r="J232" s="72"/>
    </row>
    <row r="233" spans="1:10" ht="33" customHeight="1">
      <c r="A233" s="131" t="s">
        <v>86</v>
      </c>
      <c r="B233" s="86">
        <v>2015</v>
      </c>
      <c r="C233" s="31">
        <f>F233+F234</f>
        <v>0</v>
      </c>
      <c r="D233" s="9"/>
      <c r="E233" s="6"/>
      <c r="F233" s="6">
        <v>0</v>
      </c>
      <c r="G233" s="5"/>
      <c r="H233" s="4" t="s">
        <v>12</v>
      </c>
      <c r="I233" s="14"/>
      <c r="J233" s="72"/>
    </row>
    <row r="234" spans="1:10" ht="33" customHeight="1">
      <c r="A234" s="132"/>
      <c r="B234" s="87"/>
      <c r="C234" s="31"/>
      <c r="D234" s="9"/>
      <c r="E234" s="6"/>
      <c r="F234" s="6">
        <v>0</v>
      </c>
      <c r="G234" s="5"/>
      <c r="H234" s="4" t="s">
        <v>14</v>
      </c>
      <c r="I234" s="14"/>
      <c r="J234" s="72"/>
    </row>
    <row r="235" spans="1:10" ht="33" customHeight="1">
      <c r="A235" s="133"/>
      <c r="B235" s="8">
        <v>2016</v>
      </c>
      <c r="C235" s="31">
        <f>F235+F237</f>
        <v>90.275</v>
      </c>
      <c r="D235" s="9"/>
      <c r="E235" s="6"/>
      <c r="F235" s="22">
        <f>57+33.275</f>
        <v>90.275</v>
      </c>
      <c r="G235" s="5"/>
      <c r="H235" s="4" t="s">
        <v>12</v>
      </c>
      <c r="I235" s="14"/>
      <c r="J235" s="72"/>
    </row>
    <row r="236" spans="1:10" ht="22.5" customHeight="1">
      <c r="A236" s="186" t="s">
        <v>77</v>
      </c>
      <c r="B236" s="187"/>
      <c r="C236" s="187"/>
      <c r="D236" s="187"/>
      <c r="E236" s="187"/>
      <c r="F236" s="187"/>
      <c r="G236" s="187"/>
      <c r="H236" s="187"/>
      <c r="I236" s="188"/>
      <c r="J236" s="72"/>
    </row>
    <row r="237" spans="1:10" ht="22.5" customHeight="1">
      <c r="A237" s="176" t="s">
        <v>80</v>
      </c>
      <c r="B237" s="177"/>
      <c r="C237" s="177"/>
      <c r="D237" s="177"/>
      <c r="E237" s="177"/>
      <c r="F237" s="177"/>
      <c r="G237" s="177"/>
      <c r="H237" s="177"/>
      <c r="I237" s="178"/>
      <c r="J237" s="72"/>
    </row>
    <row r="238" spans="1:10" ht="22.5" customHeight="1">
      <c r="A238" s="179" t="s">
        <v>83</v>
      </c>
      <c r="B238" s="180"/>
      <c r="C238" s="180"/>
      <c r="D238" s="180"/>
      <c r="E238" s="180"/>
      <c r="F238" s="180"/>
      <c r="G238" s="180"/>
      <c r="H238" s="180"/>
      <c r="I238" s="181"/>
      <c r="J238" s="72"/>
    </row>
    <row r="239" spans="1:10" ht="18" customHeight="1">
      <c r="A239" s="131" t="s">
        <v>50</v>
      </c>
      <c r="B239" s="151">
        <v>2014</v>
      </c>
      <c r="C239" s="148">
        <f>E239+E240+E241+E242+E243+E244+E245+F239+F240+F241+F242+F243+F244+F245</f>
        <v>543.6680000000001</v>
      </c>
      <c r="D239" s="31"/>
      <c r="E239" s="21">
        <f>21.054-4.584</f>
        <v>16.47</v>
      </c>
      <c r="F239" s="6">
        <f>16.47+22</f>
        <v>38.47</v>
      </c>
      <c r="G239" s="5"/>
      <c r="H239" s="4" t="s">
        <v>9</v>
      </c>
      <c r="I239" s="145" t="s">
        <v>34</v>
      </c>
      <c r="J239" s="72"/>
    </row>
    <row r="240" spans="1:10" ht="18" customHeight="1">
      <c r="A240" s="132"/>
      <c r="B240" s="152"/>
      <c r="C240" s="149"/>
      <c r="D240" s="34"/>
      <c r="E240" s="21">
        <v>21.054</v>
      </c>
      <c r="F240" s="6">
        <f>16.47+3.162</f>
        <v>19.631999999999998</v>
      </c>
      <c r="G240" s="5"/>
      <c r="H240" s="4" t="s">
        <v>10</v>
      </c>
      <c r="I240" s="146"/>
      <c r="J240" s="72"/>
    </row>
    <row r="241" spans="1:10" ht="18" customHeight="1">
      <c r="A241" s="132"/>
      <c r="B241" s="152"/>
      <c r="C241" s="149"/>
      <c r="D241" s="34"/>
      <c r="E241" s="21">
        <f>20.55-4.08</f>
        <v>16.47</v>
      </c>
      <c r="F241" s="6">
        <v>19.084</v>
      </c>
      <c r="G241" s="5"/>
      <c r="H241" s="4" t="s">
        <v>14</v>
      </c>
      <c r="I241" s="146"/>
      <c r="J241" s="72"/>
    </row>
    <row r="242" spans="1:10" ht="18" customHeight="1">
      <c r="A242" s="132"/>
      <c r="B242" s="152"/>
      <c r="C242" s="149"/>
      <c r="D242" s="34"/>
      <c r="E242" s="21">
        <v>16.834</v>
      </c>
      <c r="F242" s="6">
        <v>16.47</v>
      </c>
      <c r="G242" s="5"/>
      <c r="H242" s="4" t="s">
        <v>11</v>
      </c>
      <c r="I242" s="146"/>
      <c r="J242" s="72"/>
    </row>
    <row r="243" spans="1:10" ht="18" customHeight="1">
      <c r="A243" s="132"/>
      <c r="B243" s="152"/>
      <c r="C243" s="149"/>
      <c r="D243" s="34"/>
      <c r="E243" s="21">
        <f>16.834-0.364</f>
        <v>16.47</v>
      </c>
      <c r="F243" s="6">
        <v>16.47</v>
      </c>
      <c r="G243" s="5"/>
      <c r="H243" s="4" t="s">
        <v>12</v>
      </c>
      <c r="I243" s="146"/>
      <c r="J243" s="72"/>
    </row>
    <row r="244" spans="1:10" ht="18" customHeight="1">
      <c r="A244" s="132"/>
      <c r="B244" s="152"/>
      <c r="C244" s="149"/>
      <c r="D244" s="34"/>
      <c r="E244" s="21">
        <f>16.834-0.364</f>
        <v>16.47</v>
      </c>
      <c r="F244" s="6">
        <v>16.47</v>
      </c>
      <c r="G244" s="5"/>
      <c r="H244" s="4" t="s">
        <v>15</v>
      </c>
      <c r="I244" s="146"/>
      <c r="J244" s="72"/>
    </row>
    <row r="245" spans="1:10" ht="18" customHeight="1">
      <c r="A245" s="132"/>
      <c r="B245" s="153"/>
      <c r="C245" s="150"/>
      <c r="D245" s="35"/>
      <c r="E245" s="21">
        <f>162.738-7.00268-6.71332</f>
        <v>149.022</v>
      </c>
      <c r="F245" s="22">
        <v>164.282</v>
      </c>
      <c r="G245" s="5"/>
      <c r="H245" s="4" t="s">
        <v>13</v>
      </c>
      <c r="I245" s="146"/>
      <c r="J245" s="72">
        <v>226</v>
      </c>
    </row>
    <row r="246" spans="1:10" ht="18" customHeight="1">
      <c r="A246" s="132"/>
      <c r="B246" s="151">
        <v>2015</v>
      </c>
      <c r="C246" s="142">
        <f>SUM(F246:F252)</f>
        <v>574.159</v>
      </c>
      <c r="D246" s="31"/>
      <c r="E246" s="42"/>
      <c r="F246" s="22">
        <v>34.7772</v>
      </c>
      <c r="G246" s="5"/>
      <c r="H246" s="4" t="s">
        <v>9</v>
      </c>
      <c r="I246" s="146"/>
      <c r="J246" s="72"/>
    </row>
    <row r="247" spans="1:10" ht="18" customHeight="1">
      <c r="A247" s="132"/>
      <c r="B247" s="152"/>
      <c r="C247" s="143"/>
      <c r="D247" s="34"/>
      <c r="E247" s="42"/>
      <c r="F247" s="22">
        <v>34.7772</v>
      </c>
      <c r="G247" s="5"/>
      <c r="H247" s="4" t="s">
        <v>10</v>
      </c>
      <c r="I247" s="146"/>
      <c r="J247" s="72"/>
    </row>
    <row r="248" spans="1:10" ht="18" customHeight="1">
      <c r="A248" s="132"/>
      <c r="B248" s="152"/>
      <c r="C248" s="143"/>
      <c r="D248" s="34"/>
      <c r="E248" s="42"/>
      <c r="F248" s="22">
        <v>34.785</v>
      </c>
      <c r="G248" s="5"/>
      <c r="H248" s="4" t="s">
        <v>14</v>
      </c>
      <c r="I248" s="146"/>
      <c r="J248" s="72"/>
    </row>
    <row r="249" spans="1:10" ht="18" customHeight="1">
      <c r="A249" s="132"/>
      <c r="B249" s="152"/>
      <c r="C249" s="143"/>
      <c r="D249" s="34"/>
      <c r="E249" s="42"/>
      <c r="F249" s="22">
        <v>34.7772</v>
      </c>
      <c r="G249" s="5"/>
      <c r="H249" s="4" t="s">
        <v>11</v>
      </c>
      <c r="I249" s="146"/>
      <c r="J249" s="72"/>
    </row>
    <row r="250" spans="1:10" ht="18" customHeight="1">
      <c r="A250" s="132"/>
      <c r="B250" s="152"/>
      <c r="C250" s="143"/>
      <c r="D250" s="34"/>
      <c r="E250" s="42"/>
      <c r="F250" s="22">
        <v>34.7772</v>
      </c>
      <c r="G250" s="5"/>
      <c r="H250" s="4" t="s">
        <v>12</v>
      </c>
      <c r="I250" s="146"/>
      <c r="J250" s="72"/>
    </row>
    <row r="251" spans="1:10" ht="18" customHeight="1">
      <c r="A251" s="132"/>
      <c r="B251" s="152"/>
      <c r="C251" s="143"/>
      <c r="D251" s="34"/>
      <c r="E251" s="42"/>
      <c r="F251" s="22">
        <v>34.7772</v>
      </c>
      <c r="G251" s="5"/>
      <c r="H251" s="4" t="s">
        <v>15</v>
      </c>
      <c r="I251" s="146"/>
      <c r="J251" s="72"/>
    </row>
    <row r="252" spans="1:10" ht="18" customHeight="1">
      <c r="A252" s="132"/>
      <c r="B252" s="153"/>
      <c r="C252" s="144"/>
      <c r="D252" s="35"/>
      <c r="E252" s="42"/>
      <c r="F252" s="22">
        <v>365.488</v>
      </c>
      <c r="G252" s="5"/>
      <c r="H252" s="4" t="s">
        <v>13</v>
      </c>
      <c r="I252" s="146"/>
      <c r="J252" s="72"/>
    </row>
    <row r="253" spans="1:10" ht="18" customHeight="1">
      <c r="A253" s="132"/>
      <c r="B253" s="151">
        <v>2016</v>
      </c>
      <c r="C253" s="148">
        <f>SUM(F253:F259)</f>
        <v>511.04158</v>
      </c>
      <c r="D253" s="31"/>
      <c r="E253" s="42"/>
      <c r="F253" s="6">
        <v>37.524</v>
      </c>
      <c r="G253" s="5"/>
      <c r="H253" s="4" t="s">
        <v>9</v>
      </c>
      <c r="I253" s="146"/>
      <c r="J253" s="72"/>
    </row>
    <row r="254" spans="1:10" ht="18" customHeight="1">
      <c r="A254" s="132"/>
      <c r="B254" s="152"/>
      <c r="C254" s="149"/>
      <c r="D254" s="34"/>
      <c r="E254" s="42"/>
      <c r="F254" s="6">
        <v>37.524</v>
      </c>
      <c r="G254" s="5"/>
      <c r="H254" s="4" t="s">
        <v>10</v>
      </c>
      <c r="I254" s="146"/>
      <c r="J254" s="72"/>
    </row>
    <row r="255" spans="1:10" ht="18" customHeight="1">
      <c r="A255" s="132"/>
      <c r="B255" s="152"/>
      <c r="C255" s="149"/>
      <c r="D255" s="34"/>
      <c r="E255" s="42"/>
      <c r="F255" s="21">
        <f>39.634+2.8981</f>
        <v>42.5321</v>
      </c>
      <c r="G255" s="5"/>
      <c r="H255" s="4" t="s">
        <v>14</v>
      </c>
      <c r="I255" s="146"/>
      <c r="J255" s="72"/>
    </row>
    <row r="256" spans="1:10" ht="18" customHeight="1">
      <c r="A256" s="132"/>
      <c r="B256" s="152"/>
      <c r="C256" s="149"/>
      <c r="D256" s="34"/>
      <c r="E256" s="42"/>
      <c r="F256" s="22">
        <f>33.304+3.36576+0.39872</f>
        <v>37.06848</v>
      </c>
      <c r="G256" s="5"/>
      <c r="H256" s="4" t="s">
        <v>11</v>
      </c>
      <c r="I256" s="146"/>
      <c r="J256" s="72"/>
    </row>
    <row r="257" spans="1:10" ht="18" customHeight="1">
      <c r="A257" s="132"/>
      <c r="B257" s="152"/>
      <c r="C257" s="149"/>
      <c r="D257" s="34"/>
      <c r="E257" s="42"/>
      <c r="F257" s="6">
        <v>33.304</v>
      </c>
      <c r="G257" s="5"/>
      <c r="H257" s="4" t="s">
        <v>12</v>
      </c>
      <c r="I257" s="146"/>
      <c r="J257" s="72"/>
    </row>
    <row r="258" spans="1:10" ht="18" customHeight="1">
      <c r="A258" s="132"/>
      <c r="B258" s="152"/>
      <c r="C258" s="149"/>
      <c r="D258" s="34"/>
      <c r="E258" s="42"/>
      <c r="F258" s="21">
        <f>33.304+3.765</f>
        <v>37.069</v>
      </c>
      <c r="G258" s="5"/>
      <c r="H258" s="4" t="s">
        <v>15</v>
      </c>
      <c r="I258" s="146"/>
      <c r="J258" s="72"/>
    </row>
    <row r="259" spans="1:10" ht="18" customHeight="1">
      <c r="A259" s="133"/>
      <c r="B259" s="153"/>
      <c r="C259" s="150"/>
      <c r="D259" s="35"/>
      <c r="E259" s="42"/>
      <c r="F259" s="6">
        <f>67.02+260-41</f>
        <v>286.02</v>
      </c>
      <c r="G259" s="5"/>
      <c r="H259" s="4" t="s">
        <v>13</v>
      </c>
      <c r="I259" s="147"/>
      <c r="J259" s="72"/>
    </row>
    <row r="260" spans="1:10" ht="18" customHeight="1">
      <c r="A260" s="131" t="s">
        <v>51</v>
      </c>
      <c r="B260" s="151">
        <v>2014</v>
      </c>
      <c r="C260" s="148">
        <f>F260+F261+F262+F263+F264+F265+E260+E261+E262+E263+E264+E265</f>
        <v>71.32502</v>
      </c>
      <c r="D260" s="31"/>
      <c r="E260" s="48"/>
      <c r="F260" s="6">
        <v>12</v>
      </c>
      <c r="G260" s="5"/>
      <c r="H260" s="4" t="s">
        <v>9</v>
      </c>
      <c r="I260" s="189"/>
      <c r="J260" s="72"/>
    </row>
    <row r="261" spans="1:10" ht="18" customHeight="1">
      <c r="A261" s="132"/>
      <c r="B261" s="152"/>
      <c r="C261" s="149"/>
      <c r="D261" s="34"/>
      <c r="E261" s="21">
        <f>19-1.99498</f>
        <v>17.005020000000002</v>
      </c>
      <c r="F261" s="6">
        <v>0</v>
      </c>
      <c r="G261" s="5"/>
      <c r="H261" s="4" t="s">
        <v>10</v>
      </c>
      <c r="I261" s="190"/>
      <c r="J261" s="72"/>
    </row>
    <row r="262" spans="1:10" ht="18" customHeight="1">
      <c r="A262" s="132"/>
      <c r="B262" s="152"/>
      <c r="C262" s="149"/>
      <c r="D262" s="34"/>
      <c r="E262" s="21">
        <f>21.5-7.68</f>
        <v>13.82</v>
      </c>
      <c r="F262" s="6">
        <v>0</v>
      </c>
      <c r="G262" s="5"/>
      <c r="H262" s="4" t="s">
        <v>16</v>
      </c>
      <c r="I262" s="190"/>
      <c r="J262" s="72"/>
    </row>
    <row r="263" spans="1:10" ht="18" customHeight="1">
      <c r="A263" s="132"/>
      <c r="B263" s="152"/>
      <c r="C263" s="149"/>
      <c r="D263" s="34"/>
      <c r="E263" s="21"/>
      <c r="F263" s="6">
        <v>15</v>
      </c>
      <c r="G263" s="5"/>
      <c r="H263" s="4" t="s">
        <v>11</v>
      </c>
      <c r="I263" s="190"/>
      <c r="J263" s="72"/>
    </row>
    <row r="264" spans="1:10" s="11" customFormat="1" ht="18" customHeight="1">
      <c r="A264" s="132"/>
      <c r="B264" s="152"/>
      <c r="C264" s="149"/>
      <c r="D264" s="34"/>
      <c r="E264" s="21">
        <f>23.5-10</f>
        <v>13.5</v>
      </c>
      <c r="F264" s="6">
        <v>0</v>
      </c>
      <c r="G264" s="5"/>
      <c r="H264" s="4" t="s">
        <v>15</v>
      </c>
      <c r="I264" s="191"/>
      <c r="J264" s="72">
        <v>225</v>
      </c>
    </row>
    <row r="265" spans="1:10" s="11" customFormat="1" ht="18" customHeight="1">
      <c r="A265" s="132"/>
      <c r="B265" s="153"/>
      <c r="C265" s="150"/>
      <c r="D265" s="35"/>
      <c r="E265" s="21">
        <v>0</v>
      </c>
      <c r="F265" s="6">
        <v>0</v>
      </c>
      <c r="G265" s="5"/>
      <c r="H265" s="4" t="s">
        <v>13</v>
      </c>
      <c r="I265" s="14"/>
      <c r="J265" s="73"/>
    </row>
    <row r="266" spans="1:10" s="11" customFormat="1" ht="18" customHeight="1">
      <c r="A266" s="132"/>
      <c r="B266" s="151">
        <v>2015</v>
      </c>
      <c r="C266" s="142">
        <f>SUM(F266:F271)</f>
        <v>223.94369</v>
      </c>
      <c r="D266" s="31"/>
      <c r="E266" s="44"/>
      <c r="F266" s="22">
        <v>11.44164</v>
      </c>
      <c r="G266" s="5"/>
      <c r="H266" s="4" t="s">
        <v>9</v>
      </c>
      <c r="I266" s="14"/>
      <c r="J266" s="73"/>
    </row>
    <row r="267" spans="1:10" s="11" customFormat="1" ht="18" customHeight="1">
      <c r="A267" s="132"/>
      <c r="B267" s="152"/>
      <c r="C267" s="143"/>
      <c r="D267" s="34"/>
      <c r="E267" s="44"/>
      <c r="F267" s="22">
        <v>19</v>
      </c>
      <c r="G267" s="5"/>
      <c r="H267" s="4" t="s">
        <v>10</v>
      </c>
      <c r="I267" s="14"/>
      <c r="J267" s="73"/>
    </row>
    <row r="268" spans="1:10" s="11" customFormat="1" ht="18" customHeight="1">
      <c r="A268" s="132"/>
      <c r="B268" s="152"/>
      <c r="C268" s="143"/>
      <c r="D268" s="34"/>
      <c r="E268" s="44"/>
      <c r="F268" s="74">
        <f>16+10.4+0.214+5+10+4</f>
        <v>45.614</v>
      </c>
      <c r="G268" s="5"/>
      <c r="H268" s="4" t="s">
        <v>16</v>
      </c>
      <c r="I268" s="14"/>
      <c r="J268" s="73"/>
    </row>
    <row r="269" spans="1:10" s="11" customFormat="1" ht="18" customHeight="1">
      <c r="A269" s="132"/>
      <c r="B269" s="152"/>
      <c r="C269" s="143"/>
      <c r="D269" s="34"/>
      <c r="E269" s="44"/>
      <c r="F269" s="74">
        <f>11.442+100-0.04263</f>
        <v>111.39937</v>
      </c>
      <c r="G269" s="5"/>
      <c r="H269" s="4" t="s">
        <v>11</v>
      </c>
      <c r="I269" s="14"/>
      <c r="J269" s="73"/>
    </row>
    <row r="270" spans="1:10" s="11" customFormat="1" ht="18" customHeight="1">
      <c r="A270" s="132"/>
      <c r="B270" s="152"/>
      <c r="C270" s="143"/>
      <c r="D270" s="34"/>
      <c r="E270" s="44"/>
      <c r="F270" s="22">
        <f>23.5-2.01132</f>
        <v>21.48868</v>
      </c>
      <c r="G270" s="5"/>
      <c r="H270" s="4" t="s">
        <v>15</v>
      </c>
      <c r="I270" s="14"/>
      <c r="J270" s="73"/>
    </row>
    <row r="271" spans="1:10" s="11" customFormat="1" ht="18" customHeight="1">
      <c r="A271" s="132"/>
      <c r="B271" s="153"/>
      <c r="C271" s="144"/>
      <c r="D271" s="35"/>
      <c r="E271" s="44"/>
      <c r="F271" s="22">
        <v>15</v>
      </c>
      <c r="G271" s="5"/>
      <c r="H271" s="4" t="s">
        <v>13</v>
      </c>
      <c r="I271" s="14"/>
      <c r="J271" s="73"/>
    </row>
    <row r="272" spans="1:10" s="11" customFormat="1" ht="18" customHeight="1">
      <c r="A272" s="132"/>
      <c r="B272" s="151">
        <v>2016</v>
      </c>
      <c r="C272" s="148">
        <f>SUM(F272:F277)</f>
        <v>71.98224</v>
      </c>
      <c r="D272" s="31"/>
      <c r="E272" s="44"/>
      <c r="F272" s="6">
        <v>12</v>
      </c>
      <c r="G272" s="5"/>
      <c r="H272" s="4" t="s">
        <v>9</v>
      </c>
      <c r="I272" s="14"/>
      <c r="J272" s="73"/>
    </row>
    <row r="273" spans="1:10" s="11" customFormat="1" ht="18" customHeight="1">
      <c r="A273" s="132"/>
      <c r="B273" s="152"/>
      <c r="C273" s="149"/>
      <c r="D273" s="34"/>
      <c r="E273" s="44"/>
      <c r="F273" s="6">
        <f>19-1.192</f>
        <v>17.808</v>
      </c>
      <c r="G273" s="5"/>
      <c r="H273" s="4" t="s">
        <v>10</v>
      </c>
      <c r="I273" s="14"/>
      <c r="J273" s="73"/>
    </row>
    <row r="274" spans="1:10" s="11" customFormat="1" ht="18" customHeight="1">
      <c r="A274" s="132"/>
      <c r="B274" s="152"/>
      <c r="C274" s="149"/>
      <c r="D274" s="34"/>
      <c r="E274" s="44"/>
      <c r="F274" s="6">
        <f>21.5+7.54</f>
        <v>29.04</v>
      </c>
      <c r="G274" s="5"/>
      <c r="H274" s="4" t="s">
        <v>16</v>
      </c>
      <c r="I274" s="14"/>
      <c r="J274" s="73"/>
    </row>
    <row r="275" spans="1:10" s="11" customFormat="1" ht="18" customHeight="1">
      <c r="A275" s="132"/>
      <c r="B275" s="152"/>
      <c r="C275" s="149"/>
      <c r="D275" s="34"/>
      <c r="E275" s="44"/>
      <c r="F275" s="22">
        <f>15-3.36576</f>
        <v>11.63424</v>
      </c>
      <c r="G275" s="5"/>
      <c r="H275" s="4" t="s">
        <v>11</v>
      </c>
      <c r="I275" s="14"/>
      <c r="J275" s="73"/>
    </row>
    <row r="276" spans="1:10" s="11" customFormat="1" ht="18" customHeight="1">
      <c r="A276" s="132"/>
      <c r="B276" s="152"/>
      <c r="C276" s="149"/>
      <c r="D276" s="34"/>
      <c r="E276" s="44"/>
      <c r="F276" s="6">
        <f>23.5-10-12</f>
        <v>1.5</v>
      </c>
      <c r="G276" s="5"/>
      <c r="H276" s="4" t="s">
        <v>15</v>
      </c>
      <c r="I276" s="14"/>
      <c r="J276" s="73"/>
    </row>
    <row r="277" spans="1:10" s="11" customFormat="1" ht="18" customHeight="1">
      <c r="A277" s="133"/>
      <c r="B277" s="153"/>
      <c r="C277" s="150"/>
      <c r="D277" s="35"/>
      <c r="E277" s="44"/>
      <c r="F277" s="6">
        <f>15-15</f>
        <v>0</v>
      </c>
      <c r="G277" s="5"/>
      <c r="H277" s="4" t="s">
        <v>13</v>
      </c>
      <c r="I277" s="14"/>
      <c r="J277" s="73"/>
    </row>
    <row r="278" spans="1:10" s="11" customFormat="1" ht="18.75" customHeight="1">
      <c r="A278" s="131" t="s">
        <v>57</v>
      </c>
      <c r="B278" s="157">
        <v>2014</v>
      </c>
      <c r="C278" s="158">
        <f>E278+E279+E280+E281+F278+F279+F280+F281</f>
        <v>309.271</v>
      </c>
      <c r="D278" s="148"/>
      <c r="E278" s="6">
        <v>0</v>
      </c>
      <c r="F278" s="6">
        <v>18.25</v>
      </c>
      <c r="G278" s="5"/>
      <c r="H278" s="4" t="s">
        <v>9</v>
      </c>
      <c r="I278" s="81"/>
      <c r="J278" s="73"/>
    </row>
    <row r="279" spans="1:10" s="11" customFormat="1" ht="18.75" customHeight="1">
      <c r="A279" s="132"/>
      <c r="B279" s="157"/>
      <c r="C279" s="158"/>
      <c r="D279" s="149"/>
      <c r="E279" s="6">
        <f>18.25+18.215+228</f>
        <v>264.46500000000003</v>
      </c>
      <c r="F279" s="6">
        <v>0</v>
      </c>
      <c r="G279" s="5"/>
      <c r="H279" s="4" t="s">
        <v>10</v>
      </c>
      <c r="I279" s="82"/>
      <c r="J279" s="73"/>
    </row>
    <row r="280" spans="1:10" s="11" customFormat="1" ht="19.5" customHeight="1">
      <c r="A280" s="132"/>
      <c r="B280" s="157"/>
      <c r="C280" s="158"/>
      <c r="D280" s="149"/>
      <c r="E280" s="6">
        <v>0</v>
      </c>
      <c r="F280" s="6">
        <v>0</v>
      </c>
      <c r="G280" s="5"/>
      <c r="H280" s="4" t="s">
        <v>17</v>
      </c>
      <c r="I280" s="82"/>
      <c r="J280" s="73"/>
    </row>
    <row r="281" spans="1:10" s="11" customFormat="1" ht="19.5" customHeight="1">
      <c r="A281" s="132"/>
      <c r="B281" s="157"/>
      <c r="C281" s="158"/>
      <c r="D281" s="150"/>
      <c r="E281" s="6">
        <f>50-23.444</f>
        <v>26.556</v>
      </c>
      <c r="F281" s="6">
        <v>0</v>
      </c>
      <c r="G281" s="5"/>
      <c r="H281" s="4" t="s">
        <v>15</v>
      </c>
      <c r="I281" s="82"/>
      <c r="J281" s="73"/>
    </row>
    <row r="282" spans="1:10" s="11" customFormat="1" ht="48" customHeight="1">
      <c r="A282" s="132"/>
      <c r="B282" s="151">
        <v>2015</v>
      </c>
      <c r="C282" s="159">
        <f>F282+F283+F284</f>
        <v>537.687</v>
      </c>
      <c r="D282" s="31"/>
      <c r="E282" s="44"/>
      <c r="F282" s="6">
        <f>90+100-15.573</f>
        <v>174.427</v>
      </c>
      <c r="G282" s="5"/>
      <c r="H282" s="4" t="s">
        <v>9</v>
      </c>
      <c r="I282" s="82"/>
      <c r="J282" s="73"/>
    </row>
    <row r="283" spans="1:10" s="11" customFormat="1" ht="51.75" customHeight="1">
      <c r="A283" s="132"/>
      <c r="B283" s="152"/>
      <c r="C283" s="160"/>
      <c r="D283" s="31"/>
      <c r="E283" s="44"/>
      <c r="F283" s="6">
        <f>25+317.44</f>
        <v>342.44</v>
      </c>
      <c r="G283" s="5"/>
      <c r="H283" s="4" t="s">
        <v>10</v>
      </c>
      <c r="I283" s="82"/>
      <c r="J283" s="72">
        <v>226</v>
      </c>
    </row>
    <row r="284" spans="1:10" s="11" customFormat="1" ht="51.75" customHeight="1">
      <c r="A284" s="132"/>
      <c r="B284" s="153"/>
      <c r="C284" s="161"/>
      <c r="D284" s="31"/>
      <c r="E284" s="44"/>
      <c r="F284" s="6">
        <v>20.82</v>
      </c>
      <c r="G284" s="5"/>
      <c r="H284" s="4" t="s">
        <v>17</v>
      </c>
      <c r="I284" s="82"/>
      <c r="J284" s="73"/>
    </row>
    <row r="285" spans="1:10" s="11" customFormat="1" ht="38.25" customHeight="1">
      <c r="A285" s="132"/>
      <c r="B285" s="151">
        <v>2016</v>
      </c>
      <c r="C285" s="148">
        <f>F285+F286+F287+F288+F289+F290+F291</f>
        <v>1133.922</v>
      </c>
      <c r="D285" s="9"/>
      <c r="E285" s="44"/>
      <c r="F285" s="6">
        <f>90-29.68</f>
        <v>60.32</v>
      </c>
      <c r="G285" s="5"/>
      <c r="H285" s="4" t="s">
        <v>9</v>
      </c>
      <c r="I285" s="82"/>
      <c r="J285" s="73"/>
    </row>
    <row r="286" spans="1:10" s="11" customFormat="1" ht="43.5" customHeight="1">
      <c r="A286" s="132"/>
      <c r="B286" s="152"/>
      <c r="C286" s="149"/>
      <c r="D286" s="9"/>
      <c r="E286" s="44"/>
      <c r="F286" s="6">
        <f>150</f>
        <v>150</v>
      </c>
      <c r="G286" s="5"/>
      <c r="H286" s="4" t="s">
        <v>10</v>
      </c>
      <c r="I286" s="82"/>
      <c r="J286" s="73"/>
    </row>
    <row r="287" spans="1:10" s="11" customFormat="1" ht="48.75" customHeight="1">
      <c r="A287" s="132"/>
      <c r="B287" s="152"/>
      <c r="C287" s="149"/>
      <c r="D287" s="9"/>
      <c r="E287" s="44"/>
      <c r="F287" s="6">
        <f>40+45+50</f>
        <v>135</v>
      </c>
      <c r="G287" s="5"/>
      <c r="H287" s="4" t="s">
        <v>16</v>
      </c>
      <c r="I287" s="82"/>
      <c r="J287" s="73"/>
    </row>
    <row r="288" spans="1:10" s="11" customFormat="1" ht="48.75" customHeight="1">
      <c r="A288" s="132"/>
      <c r="B288" s="152"/>
      <c r="C288" s="149"/>
      <c r="D288" s="9"/>
      <c r="E288" s="44"/>
      <c r="F288" s="6">
        <f>50+30+37.602+100</f>
        <v>217.602</v>
      </c>
      <c r="G288" s="5"/>
      <c r="H288" s="4" t="s">
        <v>85</v>
      </c>
      <c r="I288" s="82"/>
      <c r="J288" s="73"/>
    </row>
    <row r="289" spans="1:10" s="11" customFormat="1" ht="48.75" customHeight="1">
      <c r="A289" s="132"/>
      <c r="B289" s="152"/>
      <c r="C289" s="149"/>
      <c r="D289" s="31"/>
      <c r="E289" s="89"/>
      <c r="F289" s="88">
        <f>111+50+50+100</f>
        <v>311</v>
      </c>
      <c r="G289" s="90"/>
      <c r="H289" s="4" t="s">
        <v>17</v>
      </c>
      <c r="I289" s="82"/>
      <c r="J289" s="73"/>
    </row>
    <row r="290" spans="1:10" s="11" customFormat="1" ht="48.75" customHeight="1">
      <c r="A290" s="132"/>
      <c r="B290" s="152"/>
      <c r="C290" s="149"/>
      <c r="D290" s="9"/>
      <c r="E290" s="44"/>
      <c r="F290" s="6">
        <v>160</v>
      </c>
      <c r="G290" s="5"/>
      <c r="H290" s="4" t="s">
        <v>15</v>
      </c>
      <c r="I290" s="82"/>
      <c r="J290" s="73"/>
    </row>
    <row r="291" spans="1:10" s="11" customFormat="1" ht="51" customHeight="1">
      <c r="A291" s="133"/>
      <c r="B291" s="153"/>
      <c r="C291" s="150"/>
      <c r="D291" s="9"/>
      <c r="E291" s="44"/>
      <c r="F291" s="6">
        <v>100</v>
      </c>
      <c r="G291" s="5"/>
      <c r="H291" s="4" t="s">
        <v>23</v>
      </c>
      <c r="I291" s="82"/>
      <c r="J291" s="73"/>
    </row>
    <row r="292" spans="1:10" s="11" customFormat="1" ht="39.75" customHeight="1">
      <c r="A292" s="131" t="s">
        <v>88</v>
      </c>
      <c r="B292" s="151">
        <v>2014</v>
      </c>
      <c r="C292" s="148">
        <f>F292+F293</f>
        <v>216</v>
      </c>
      <c r="D292" s="9"/>
      <c r="E292" s="44"/>
      <c r="F292" s="6">
        <v>116</v>
      </c>
      <c r="G292" s="5"/>
      <c r="H292" s="4" t="s">
        <v>10</v>
      </c>
      <c r="I292" s="82"/>
      <c r="J292" s="73"/>
    </row>
    <row r="293" spans="1:10" s="11" customFormat="1" ht="39.75" customHeight="1">
      <c r="A293" s="132"/>
      <c r="B293" s="153"/>
      <c r="C293" s="150"/>
      <c r="D293" s="9"/>
      <c r="E293" s="44"/>
      <c r="F293" s="6">
        <v>100</v>
      </c>
      <c r="G293" s="5"/>
      <c r="H293" s="4" t="s">
        <v>17</v>
      </c>
      <c r="I293" s="82"/>
      <c r="J293" s="73"/>
    </row>
    <row r="294" spans="1:10" s="11" customFormat="1" ht="66" customHeight="1">
      <c r="A294" s="133"/>
      <c r="B294" s="53">
        <v>2016</v>
      </c>
      <c r="C294" s="35">
        <f>F294</f>
        <v>180</v>
      </c>
      <c r="D294" s="9"/>
      <c r="E294" s="44"/>
      <c r="F294" s="6">
        <v>180</v>
      </c>
      <c r="G294" s="5"/>
      <c r="H294" s="4" t="s">
        <v>10</v>
      </c>
      <c r="I294" s="82"/>
      <c r="J294" s="73"/>
    </row>
    <row r="295" spans="1:10" s="11" customFormat="1" ht="144.75" customHeight="1">
      <c r="A295" s="54" t="s">
        <v>68</v>
      </c>
      <c r="B295" s="53">
        <v>2015</v>
      </c>
      <c r="C295" s="35">
        <f>E295+F295</f>
        <v>239.3</v>
      </c>
      <c r="D295" s="9"/>
      <c r="E295" s="38">
        <v>239.3</v>
      </c>
      <c r="F295" s="6">
        <v>0</v>
      </c>
      <c r="G295" s="5"/>
      <c r="H295" s="4" t="s">
        <v>10</v>
      </c>
      <c r="I295" s="83"/>
      <c r="J295" s="73"/>
    </row>
    <row r="296" spans="1:10" ht="20.25">
      <c r="A296" s="186" t="s">
        <v>87</v>
      </c>
      <c r="B296" s="187"/>
      <c r="C296" s="187"/>
      <c r="D296" s="187"/>
      <c r="E296" s="187"/>
      <c r="F296" s="187"/>
      <c r="G296" s="187"/>
      <c r="H296" s="187"/>
      <c r="I296" s="188"/>
      <c r="J296" s="72"/>
    </row>
    <row r="297" spans="1:10" ht="15.75" customHeight="1">
      <c r="A297" s="176" t="s">
        <v>79</v>
      </c>
      <c r="B297" s="177"/>
      <c r="C297" s="177"/>
      <c r="D297" s="177"/>
      <c r="E297" s="177"/>
      <c r="F297" s="177"/>
      <c r="G297" s="177"/>
      <c r="H297" s="177"/>
      <c r="I297" s="178"/>
      <c r="J297" s="72"/>
    </row>
    <row r="298" spans="1:10" ht="18">
      <c r="A298" s="179" t="s">
        <v>84</v>
      </c>
      <c r="B298" s="180"/>
      <c r="C298" s="180"/>
      <c r="D298" s="180"/>
      <c r="E298" s="180"/>
      <c r="F298" s="180"/>
      <c r="G298" s="180"/>
      <c r="H298" s="180"/>
      <c r="I298" s="181"/>
      <c r="J298" s="72"/>
    </row>
    <row r="299" spans="1:11" ht="15.75" customHeight="1">
      <c r="A299" s="131" t="s">
        <v>38</v>
      </c>
      <c r="B299" s="157">
        <v>2014</v>
      </c>
      <c r="C299" s="158">
        <f>SUM(F299:F305)</f>
        <v>1581.1699999999996</v>
      </c>
      <c r="D299" s="9"/>
      <c r="E299" s="38"/>
      <c r="F299" s="6">
        <f>259.98-70-2</f>
        <v>187.98000000000002</v>
      </c>
      <c r="G299" s="16"/>
      <c r="H299" s="4" t="s">
        <v>9</v>
      </c>
      <c r="I299" s="173" t="s">
        <v>24</v>
      </c>
      <c r="J299" s="72"/>
      <c r="K299" s="32"/>
    </row>
    <row r="300" spans="1:11" ht="15.75" customHeight="1">
      <c r="A300" s="132"/>
      <c r="B300" s="157"/>
      <c r="C300" s="158"/>
      <c r="D300" s="9"/>
      <c r="E300" s="38"/>
      <c r="F300" s="6">
        <f>375.06-18.25-8.8-55+2</f>
        <v>295.01</v>
      </c>
      <c r="G300" s="16"/>
      <c r="H300" s="4" t="s">
        <v>10</v>
      </c>
      <c r="I300" s="174"/>
      <c r="J300" s="72"/>
      <c r="K300" s="33"/>
    </row>
    <row r="301" spans="1:11" ht="15.75" customHeight="1">
      <c r="A301" s="132"/>
      <c r="B301" s="157"/>
      <c r="C301" s="158"/>
      <c r="D301" s="9"/>
      <c r="E301" s="38"/>
      <c r="F301" s="6">
        <f>167.48+7.68-26</f>
        <v>149.16</v>
      </c>
      <c r="G301" s="16"/>
      <c r="H301" s="4" t="s">
        <v>19</v>
      </c>
      <c r="I301" s="174"/>
      <c r="J301" s="72"/>
      <c r="K301" s="33"/>
    </row>
    <row r="302" spans="1:11" ht="15.75" customHeight="1">
      <c r="A302" s="132"/>
      <c r="B302" s="157"/>
      <c r="C302" s="158"/>
      <c r="D302" s="9"/>
      <c r="E302" s="38"/>
      <c r="F302" s="6">
        <f>261.2-50</f>
        <v>211.2</v>
      </c>
      <c r="G302" s="16"/>
      <c r="H302" s="4" t="s">
        <v>20</v>
      </c>
      <c r="I302" s="174"/>
      <c r="J302" s="72"/>
      <c r="K302" s="33"/>
    </row>
    <row r="303" spans="1:11" ht="15.75" customHeight="1">
      <c r="A303" s="132"/>
      <c r="B303" s="157"/>
      <c r="C303" s="158"/>
      <c r="D303" s="9"/>
      <c r="E303" s="38"/>
      <c r="F303" s="6">
        <f>565.6-11-22-43-100</f>
        <v>389.6</v>
      </c>
      <c r="G303" s="16"/>
      <c r="H303" s="4" t="s">
        <v>21</v>
      </c>
      <c r="I303" s="174"/>
      <c r="J303" s="72">
        <v>226</v>
      </c>
      <c r="K303" s="33"/>
    </row>
    <row r="304" spans="1:11" ht="15.75" customHeight="1">
      <c r="A304" s="132"/>
      <c r="B304" s="157"/>
      <c r="C304" s="158"/>
      <c r="D304" s="9"/>
      <c r="E304" s="38"/>
      <c r="F304" s="6">
        <f>206.6+10-9.5-19</f>
        <v>188.1</v>
      </c>
      <c r="G304" s="16"/>
      <c r="H304" s="4" t="s">
        <v>22</v>
      </c>
      <c r="I304" s="174"/>
      <c r="J304" s="72"/>
      <c r="K304" s="33"/>
    </row>
    <row r="305" spans="1:11" ht="15.75" customHeight="1">
      <c r="A305" s="132"/>
      <c r="B305" s="157"/>
      <c r="C305" s="158"/>
      <c r="D305" s="9"/>
      <c r="E305" s="38"/>
      <c r="F305" s="6">
        <f>290.12-130</f>
        <v>160.12</v>
      </c>
      <c r="G305" s="16"/>
      <c r="H305" s="4" t="s">
        <v>23</v>
      </c>
      <c r="I305" s="174"/>
      <c r="J305" s="72"/>
      <c r="K305" s="182"/>
    </row>
    <row r="306" spans="1:11" ht="15.75" customHeight="1">
      <c r="A306" s="132"/>
      <c r="B306" s="157">
        <v>2015</v>
      </c>
      <c r="C306" s="156">
        <f>F306+F307+F308+F309+F310+F311+F312</f>
        <v>1542.6115399999999</v>
      </c>
      <c r="D306" s="9"/>
      <c r="E306" s="38"/>
      <c r="F306" s="22">
        <f>319-12.38168-0.02972</f>
        <v>306.5886</v>
      </c>
      <c r="G306" s="16"/>
      <c r="H306" s="4" t="s">
        <v>10</v>
      </c>
      <c r="I306" s="174"/>
      <c r="J306" s="72"/>
      <c r="K306" s="182"/>
    </row>
    <row r="307" spans="1:11" ht="15.75" customHeight="1">
      <c r="A307" s="132"/>
      <c r="B307" s="157"/>
      <c r="C307" s="156"/>
      <c r="D307" s="9"/>
      <c r="E307" s="38"/>
      <c r="F307" s="22">
        <f>159</f>
        <v>159</v>
      </c>
      <c r="G307" s="16"/>
      <c r="H307" s="4" t="s">
        <v>19</v>
      </c>
      <c r="I307" s="174"/>
      <c r="J307" s="72"/>
      <c r="K307" s="182"/>
    </row>
    <row r="308" spans="1:11" ht="15.75" customHeight="1">
      <c r="A308" s="132"/>
      <c r="B308" s="157"/>
      <c r="C308" s="156"/>
      <c r="D308" s="9"/>
      <c r="E308" s="38"/>
      <c r="F308" s="22">
        <f>203.5298-10+5</f>
        <v>198.5298</v>
      </c>
      <c r="G308" s="16"/>
      <c r="H308" s="4" t="s">
        <v>20</v>
      </c>
      <c r="I308" s="174"/>
      <c r="J308" s="72"/>
      <c r="K308" s="182"/>
    </row>
    <row r="309" spans="1:11" ht="15.75" customHeight="1">
      <c r="A309" s="132"/>
      <c r="B309" s="157"/>
      <c r="C309" s="156"/>
      <c r="D309" s="9"/>
      <c r="E309" s="38"/>
      <c r="F309" s="22">
        <f>407.6-4-4</f>
        <v>399.6</v>
      </c>
      <c r="G309" s="16"/>
      <c r="H309" s="4" t="s">
        <v>21</v>
      </c>
      <c r="I309" s="174"/>
      <c r="J309" s="72"/>
      <c r="K309" s="182"/>
    </row>
    <row r="310" spans="1:11" ht="15.75" customHeight="1">
      <c r="A310" s="132"/>
      <c r="B310" s="157"/>
      <c r="C310" s="156"/>
      <c r="D310" s="9"/>
      <c r="E310" s="38"/>
      <c r="F310" s="22">
        <v>175.3478</v>
      </c>
      <c r="G310" s="16"/>
      <c r="H310" s="4" t="s">
        <v>22</v>
      </c>
      <c r="I310" s="174"/>
      <c r="J310" s="72"/>
      <c r="K310" s="182"/>
    </row>
    <row r="311" spans="1:11" ht="15.75" customHeight="1">
      <c r="A311" s="132"/>
      <c r="B311" s="157"/>
      <c r="C311" s="156"/>
      <c r="D311" s="9"/>
      <c r="E311" s="38"/>
      <c r="F311" s="22">
        <f>137.139-1.36458</f>
        <v>135.77442000000002</v>
      </c>
      <c r="G311" s="16"/>
      <c r="H311" s="4" t="s">
        <v>23</v>
      </c>
      <c r="I311" s="174"/>
      <c r="J311" s="72"/>
      <c r="K311" s="182"/>
    </row>
    <row r="312" spans="1:11" ht="15.75" customHeight="1">
      <c r="A312" s="132"/>
      <c r="B312" s="157"/>
      <c r="C312" s="156"/>
      <c r="D312" s="9"/>
      <c r="E312" s="38"/>
      <c r="F312" s="22">
        <f>220-43.73-8.49908</f>
        <v>167.77092000000002</v>
      </c>
      <c r="G312" s="16"/>
      <c r="H312" s="4" t="s">
        <v>9</v>
      </c>
      <c r="I312" s="174"/>
      <c r="J312" s="72"/>
      <c r="K312" s="182"/>
    </row>
    <row r="313" spans="1:11" ht="15.75" customHeight="1">
      <c r="A313" s="132"/>
      <c r="B313" s="151">
        <v>2016</v>
      </c>
      <c r="C313" s="183">
        <f>F313+F314+F315+F316+F317+F318+F319</f>
        <v>1577.405</v>
      </c>
      <c r="D313" s="65"/>
      <c r="E313" s="66"/>
      <c r="F313" s="67">
        <v>341.6</v>
      </c>
      <c r="G313" s="16"/>
      <c r="H313" s="4" t="s">
        <v>10</v>
      </c>
      <c r="I313" s="174"/>
      <c r="J313" s="72"/>
      <c r="K313" s="182"/>
    </row>
    <row r="314" spans="1:11" ht="15.75" customHeight="1">
      <c r="A314" s="132"/>
      <c r="B314" s="152"/>
      <c r="C314" s="184"/>
      <c r="D314" s="68"/>
      <c r="E314" s="66"/>
      <c r="F314" s="67">
        <f>135.1-34.71</f>
        <v>100.38999999999999</v>
      </c>
      <c r="G314" s="16"/>
      <c r="H314" s="4" t="s">
        <v>19</v>
      </c>
      <c r="I314" s="174"/>
      <c r="J314" s="72"/>
      <c r="K314" s="182"/>
    </row>
    <row r="315" spans="1:11" ht="15.75" customHeight="1">
      <c r="A315" s="132"/>
      <c r="B315" s="152"/>
      <c r="C315" s="184"/>
      <c r="D315" s="68"/>
      <c r="E315" s="66"/>
      <c r="F315" s="67">
        <v>215.1</v>
      </c>
      <c r="G315" s="16"/>
      <c r="H315" s="4" t="s">
        <v>20</v>
      </c>
      <c r="I315" s="174"/>
      <c r="J315" s="72"/>
      <c r="K315" s="182"/>
    </row>
    <row r="316" spans="1:11" ht="15.75" customHeight="1">
      <c r="A316" s="132"/>
      <c r="B316" s="152"/>
      <c r="C316" s="184"/>
      <c r="D316" s="68"/>
      <c r="E316" s="66"/>
      <c r="F316" s="104">
        <f>438.1-57</f>
        <v>381.1</v>
      </c>
      <c r="G316" s="16"/>
      <c r="H316" s="4" t="s">
        <v>21</v>
      </c>
      <c r="I316" s="174"/>
      <c r="J316" s="72"/>
      <c r="K316" s="182"/>
    </row>
    <row r="317" spans="1:11" ht="15.75" customHeight="1">
      <c r="A317" s="132"/>
      <c r="B317" s="152"/>
      <c r="C317" s="184"/>
      <c r="D317" s="68"/>
      <c r="E317" s="66"/>
      <c r="F317" s="67">
        <f>205.5-16.5</f>
        <v>189</v>
      </c>
      <c r="G317" s="16"/>
      <c r="H317" s="4" t="s">
        <v>22</v>
      </c>
      <c r="I317" s="174"/>
      <c r="J317" s="72"/>
      <c r="K317" s="182"/>
    </row>
    <row r="318" spans="1:11" ht="15.75" customHeight="1">
      <c r="A318" s="132"/>
      <c r="B318" s="152"/>
      <c r="C318" s="184"/>
      <c r="D318" s="68"/>
      <c r="E318" s="66"/>
      <c r="F318" s="67">
        <f>96.2-20+60.415</f>
        <v>136.615</v>
      </c>
      <c r="G318" s="16"/>
      <c r="H318" s="4" t="s">
        <v>23</v>
      </c>
      <c r="I318" s="175"/>
      <c r="J318" s="72"/>
      <c r="K318" s="182"/>
    </row>
    <row r="319" spans="1:11" ht="15.75" customHeight="1">
      <c r="A319" s="133"/>
      <c r="B319" s="153"/>
      <c r="C319" s="185"/>
      <c r="D319" s="69"/>
      <c r="E319" s="66"/>
      <c r="F319" s="67">
        <v>213.6</v>
      </c>
      <c r="G319" s="16"/>
      <c r="H319" s="4" t="s">
        <v>9</v>
      </c>
      <c r="I319" s="70"/>
      <c r="J319" s="72"/>
      <c r="K319" s="182"/>
    </row>
    <row r="320" spans="1:11" ht="15.75" customHeight="1">
      <c r="A320" s="131" t="s">
        <v>92</v>
      </c>
      <c r="B320" s="151">
        <v>2014</v>
      </c>
      <c r="C320" s="148">
        <f>SUM(F320:F326)+E320+E321+E322+E323+E324+E325+E326</f>
        <v>198.142</v>
      </c>
      <c r="D320" s="31"/>
      <c r="E320" s="21">
        <v>33.202</v>
      </c>
      <c r="F320" s="6">
        <v>0</v>
      </c>
      <c r="G320" s="16"/>
      <c r="H320" s="4" t="s">
        <v>9</v>
      </c>
      <c r="I320" s="71"/>
      <c r="J320" s="72">
        <v>226</v>
      </c>
      <c r="K320" s="182"/>
    </row>
    <row r="321" spans="1:11" ht="15.75" customHeight="1">
      <c r="A321" s="132"/>
      <c r="B321" s="152"/>
      <c r="C321" s="149"/>
      <c r="D321" s="34"/>
      <c r="E321" s="21">
        <v>35</v>
      </c>
      <c r="F321" s="6">
        <v>0</v>
      </c>
      <c r="G321" s="16"/>
      <c r="H321" s="4" t="s">
        <v>10</v>
      </c>
      <c r="I321" s="71"/>
      <c r="J321" s="72"/>
      <c r="K321" s="182"/>
    </row>
    <row r="322" spans="1:11" ht="15.75" customHeight="1">
      <c r="A322" s="132"/>
      <c r="B322" s="152"/>
      <c r="C322" s="149"/>
      <c r="D322" s="34"/>
      <c r="E322" s="21"/>
      <c r="F322" s="6">
        <v>30</v>
      </c>
      <c r="G322" s="16"/>
      <c r="H322" s="4" t="s">
        <v>19</v>
      </c>
      <c r="I322" s="71"/>
      <c r="J322" s="72"/>
      <c r="K322" s="182"/>
    </row>
    <row r="323" spans="1:11" ht="15.75" customHeight="1">
      <c r="A323" s="132"/>
      <c r="B323" s="152"/>
      <c r="C323" s="149"/>
      <c r="D323" s="34"/>
      <c r="E323" s="21"/>
      <c r="F323" s="6">
        <v>30</v>
      </c>
      <c r="G323" s="16"/>
      <c r="H323" s="4" t="s">
        <v>20</v>
      </c>
      <c r="I323" s="71"/>
      <c r="J323" s="72"/>
      <c r="K323" s="182"/>
    </row>
    <row r="324" spans="1:11" ht="15.75" customHeight="1">
      <c r="A324" s="132"/>
      <c r="B324" s="152"/>
      <c r="C324" s="149"/>
      <c r="D324" s="34"/>
      <c r="E324" s="21"/>
      <c r="F324" s="6">
        <v>30</v>
      </c>
      <c r="G324" s="16"/>
      <c r="H324" s="4" t="s">
        <v>21</v>
      </c>
      <c r="I324" s="71"/>
      <c r="J324" s="72"/>
      <c r="K324" s="182"/>
    </row>
    <row r="325" spans="1:11" ht="15.75" customHeight="1">
      <c r="A325" s="132"/>
      <c r="B325" s="152"/>
      <c r="C325" s="149"/>
      <c r="D325" s="34"/>
      <c r="E325" s="21">
        <f>20-0.06</f>
        <v>19.94</v>
      </c>
      <c r="F325" s="6">
        <v>0</v>
      </c>
      <c r="G325" s="16"/>
      <c r="H325" s="4" t="s">
        <v>22</v>
      </c>
      <c r="I325" s="71"/>
      <c r="J325" s="72"/>
      <c r="K325" s="182"/>
    </row>
    <row r="326" spans="1:10" ht="15.75" customHeight="1">
      <c r="A326" s="132"/>
      <c r="B326" s="153"/>
      <c r="C326" s="150"/>
      <c r="D326" s="35"/>
      <c r="E326" s="38"/>
      <c r="F326" s="6">
        <v>20</v>
      </c>
      <c r="G326" s="16"/>
      <c r="H326" s="4" t="s">
        <v>23</v>
      </c>
      <c r="I326" s="71"/>
      <c r="J326" s="72"/>
    </row>
    <row r="327" spans="1:10" ht="15.75" customHeight="1">
      <c r="A327" s="132"/>
      <c r="B327" s="151">
        <v>2015</v>
      </c>
      <c r="C327" s="142">
        <f>SUM(F327:F333)</f>
        <v>23.8741</v>
      </c>
      <c r="D327" s="31"/>
      <c r="E327" s="38"/>
      <c r="F327" s="22">
        <v>18.1009</v>
      </c>
      <c r="G327" s="16"/>
      <c r="H327" s="4" t="s">
        <v>9</v>
      </c>
      <c r="I327" s="71"/>
      <c r="J327" s="72"/>
    </row>
    <row r="328" spans="1:10" ht="15.75" customHeight="1">
      <c r="A328" s="132"/>
      <c r="B328" s="152"/>
      <c r="C328" s="143"/>
      <c r="D328" s="34"/>
      <c r="E328" s="38"/>
      <c r="F328" s="22">
        <v>0</v>
      </c>
      <c r="G328" s="16"/>
      <c r="H328" s="4" t="s">
        <v>10</v>
      </c>
      <c r="I328" s="71"/>
      <c r="J328" s="72"/>
    </row>
    <row r="329" spans="1:10" ht="15.75" customHeight="1">
      <c r="A329" s="132"/>
      <c r="B329" s="152"/>
      <c r="C329" s="143"/>
      <c r="D329" s="34"/>
      <c r="E329" s="38"/>
      <c r="F329" s="22">
        <v>0</v>
      </c>
      <c r="G329" s="16"/>
      <c r="H329" s="4" t="s">
        <v>19</v>
      </c>
      <c r="I329" s="71"/>
      <c r="J329" s="72"/>
    </row>
    <row r="330" spans="1:10" ht="15.75" customHeight="1">
      <c r="A330" s="132"/>
      <c r="B330" s="152"/>
      <c r="C330" s="143"/>
      <c r="D330" s="34"/>
      <c r="E330" s="38"/>
      <c r="F330" s="22">
        <v>4.3</v>
      </c>
      <c r="G330" s="16"/>
      <c r="H330" s="4" t="s">
        <v>20</v>
      </c>
      <c r="I330" s="71"/>
      <c r="J330" s="72"/>
    </row>
    <row r="331" spans="1:10" ht="15.75" customHeight="1">
      <c r="A331" s="132"/>
      <c r="B331" s="152"/>
      <c r="C331" s="143"/>
      <c r="D331" s="34"/>
      <c r="E331" s="38"/>
      <c r="F331" s="22">
        <v>1.4732</v>
      </c>
      <c r="G331" s="16"/>
      <c r="H331" s="4" t="s">
        <v>21</v>
      </c>
      <c r="I331" s="71"/>
      <c r="J331" s="72"/>
    </row>
    <row r="332" spans="1:10" ht="15.75" customHeight="1">
      <c r="A332" s="132"/>
      <c r="B332" s="152"/>
      <c r="C332" s="143"/>
      <c r="D332" s="34"/>
      <c r="E332" s="38"/>
      <c r="F332" s="22">
        <v>0</v>
      </c>
      <c r="G332" s="16"/>
      <c r="H332" s="4" t="s">
        <v>22</v>
      </c>
      <c r="I332" s="71"/>
      <c r="J332" s="72"/>
    </row>
    <row r="333" spans="1:10" ht="15.75" customHeight="1">
      <c r="A333" s="132"/>
      <c r="B333" s="153"/>
      <c r="C333" s="144"/>
      <c r="D333" s="35"/>
      <c r="E333" s="38"/>
      <c r="F333" s="22">
        <v>0</v>
      </c>
      <c r="G333" s="16"/>
      <c r="H333" s="4" t="s">
        <v>23</v>
      </c>
      <c r="I333" s="71"/>
      <c r="J333" s="72"/>
    </row>
    <row r="334" spans="1:10" ht="15.75" customHeight="1">
      <c r="A334" s="132"/>
      <c r="B334" s="151">
        <v>2016</v>
      </c>
      <c r="C334" s="148">
        <f>SUM(F334:F340)</f>
        <v>32.1</v>
      </c>
      <c r="D334" s="31"/>
      <c r="E334" s="38"/>
      <c r="F334" s="6">
        <f>1+2.6</f>
        <v>3.6</v>
      </c>
      <c r="G334" s="16"/>
      <c r="H334" s="4" t="s">
        <v>9</v>
      </c>
      <c r="I334" s="71"/>
      <c r="J334" s="72"/>
    </row>
    <row r="335" spans="1:10" ht="15.75" customHeight="1">
      <c r="A335" s="132"/>
      <c r="B335" s="152"/>
      <c r="C335" s="149"/>
      <c r="D335" s="34"/>
      <c r="E335" s="38"/>
      <c r="F335" s="6">
        <v>0</v>
      </c>
      <c r="G335" s="16"/>
      <c r="H335" s="4" t="s">
        <v>10</v>
      </c>
      <c r="I335" s="71"/>
      <c r="J335" s="72"/>
    </row>
    <row r="336" spans="1:10" ht="15.75" customHeight="1">
      <c r="A336" s="132"/>
      <c r="B336" s="152"/>
      <c r="C336" s="149"/>
      <c r="D336" s="34"/>
      <c r="E336" s="38"/>
      <c r="F336" s="6">
        <v>1</v>
      </c>
      <c r="G336" s="16"/>
      <c r="H336" s="4" t="s">
        <v>19</v>
      </c>
      <c r="I336" s="71"/>
      <c r="J336" s="72"/>
    </row>
    <row r="337" spans="1:10" ht="15.75" customHeight="1">
      <c r="A337" s="132"/>
      <c r="B337" s="152"/>
      <c r="C337" s="149"/>
      <c r="D337" s="34"/>
      <c r="E337" s="38"/>
      <c r="F337" s="6">
        <f>5+2.3+0.2</f>
        <v>7.5</v>
      </c>
      <c r="G337" s="16"/>
      <c r="H337" s="4" t="s">
        <v>20</v>
      </c>
      <c r="I337" s="71"/>
      <c r="J337" s="72"/>
    </row>
    <row r="338" spans="1:10" ht="15.75" customHeight="1">
      <c r="A338" s="132"/>
      <c r="B338" s="152"/>
      <c r="C338" s="149"/>
      <c r="D338" s="34"/>
      <c r="E338" s="38"/>
      <c r="F338" s="6">
        <v>10</v>
      </c>
      <c r="G338" s="16"/>
      <c r="H338" s="4" t="s">
        <v>21</v>
      </c>
      <c r="I338" s="71"/>
      <c r="J338" s="72"/>
    </row>
    <row r="339" spans="1:10" ht="15.75" customHeight="1">
      <c r="A339" s="132"/>
      <c r="B339" s="152"/>
      <c r="C339" s="149"/>
      <c r="D339" s="34"/>
      <c r="E339" s="38"/>
      <c r="F339" s="6">
        <v>10</v>
      </c>
      <c r="G339" s="16"/>
      <c r="H339" s="4" t="s">
        <v>22</v>
      </c>
      <c r="I339" s="71"/>
      <c r="J339" s="72"/>
    </row>
    <row r="340" spans="1:10" ht="15.75" customHeight="1">
      <c r="A340" s="133"/>
      <c r="B340" s="153"/>
      <c r="C340" s="150"/>
      <c r="D340" s="35"/>
      <c r="E340" s="38"/>
      <c r="F340" s="6">
        <v>0</v>
      </c>
      <c r="G340" s="16"/>
      <c r="H340" s="4" t="s">
        <v>23</v>
      </c>
      <c r="I340" s="37"/>
      <c r="J340" s="72"/>
    </row>
    <row r="341" spans="1:10" ht="15.75" customHeight="1">
      <c r="A341" s="131" t="s">
        <v>39</v>
      </c>
      <c r="B341" s="151">
        <v>2014</v>
      </c>
      <c r="C341" s="148">
        <f>F341+F342+F343+F344+F345+F346</f>
        <v>8.04</v>
      </c>
      <c r="D341" s="31"/>
      <c r="E341" s="38"/>
      <c r="F341" s="6">
        <v>1.15</v>
      </c>
      <c r="G341" s="16"/>
      <c r="H341" s="4" t="s">
        <v>9</v>
      </c>
      <c r="I341" s="70"/>
      <c r="J341" s="72"/>
    </row>
    <row r="342" spans="1:10" ht="15.75" customHeight="1">
      <c r="A342" s="132"/>
      <c r="B342" s="152"/>
      <c r="C342" s="149"/>
      <c r="D342" s="34"/>
      <c r="E342" s="38"/>
      <c r="F342" s="6">
        <v>0.575</v>
      </c>
      <c r="G342" s="16"/>
      <c r="H342" s="4" t="s">
        <v>19</v>
      </c>
      <c r="I342" s="71"/>
      <c r="J342" s="72">
        <v>340</v>
      </c>
    </row>
    <row r="343" spans="1:10" ht="15.75" customHeight="1">
      <c r="A343" s="132"/>
      <c r="B343" s="152"/>
      <c r="C343" s="149"/>
      <c r="D343" s="34"/>
      <c r="E343" s="38"/>
      <c r="F343" s="6">
        <v>1.15</v>
      </c>
      <c r="G343" s="16"/>
      <c r="H343" s="4" t="s">
        <v>20</v>
      </c>
      <c r="I343" s="71"/>
      <c r="J343" s="72"/>
    </row>
    <row r="344" spans="1:10" ht="15.75" customHeight="1">
      <c r="A344" s="132"/>
      <c r="B344" s="152"/>
      <c r="C344" s="149"/>
      <c r="D344" s="34"/>
      <c r="E344" s="38"/>
      <c r="F344" s="6">
        <v>2.295</v>
      </c>
      <c r="G344" s="16"/>
      <c r="H344" s="4" t="s">
        <v>21</v>
      </c>
      <c r="I344" s="71"/>
      <c r="J344" s="72"/>
    </row>
    <row r="345" spans="1:10" ht="15.75" customHeight="1">
      <c r="A345" s="132"/>
      <c r="B345" s="152"/>
      <c r="C345" s="149"/>
      <c r="D345" s="34"/>
      <c r="E345" s="38"/>
      <c r="F345" s="6">
        <v>0.575</v>
      </c>
      <c r="G345" s="16"/>
      <c r="H345" s="4" t="s">
        <v>22</v>
      </c>
      <c r="I345" s="71"/>
      <c r="J345" s="72"/>
    </row>
    <row r="346" spans="1:10" ht="15.75" customHeight="1">
      <c r="A346" s="132"/>
      <c r="B346" s="153"/>
      <c r="C346" s="150"/>
      <c r="D346" s="35"/>
      <c r="E346" s="38"/>
      <c r="F346" s="6">
        <v>2.295</v>
      </c>
      <c r="G346" s="16"/>
      <c r="H346" s="4" t="s">
        <v>23</v>
      </c>
      <c r="I346" s="71"/>
      <c r="J346" s="72"/>
    </row>
    <row r="347" spans="1:10" ht="15.75" customHeight="1">
      <c r="A347" s="132"/>
      <c r="B347" s="151">
        <v>2015</v>
      </c>
      <c r="C347" s="148">
        <f>F347+F348+F349+F350+F351+F352</f>
        <v>6.89</v>
      </c>
      <c r="D347" s="31"/>
      <c r="E347" s="38"/>
      <c r="F347" s="6">
        <v>0</v>
      </c>
      <c r="G347" s="16"/>
      <c r="H347" s="4" t="s">
        <v>9</v>
      </c>
      <c r="I347" s="71"/>
      <c r="J347" s="72"/>
    </row>
    <row r="348" spans="1:10" ht="15.75" customHeight="1">
      <c r="A348" s="132"/>
      <c r="B348" s="152"/>
      <c r="C348" s="149"/>
      <c r="D348" s="34"/>
      <c r="E348" s="38"/>
      <c r="F348" s="6">
        <v>0.575</v>
      </c>
      <c r="G348" s="16"/>
      <c r="H348" s="4" t="s">
        <v>19</v>
      </c>
      <c r="I348" s="71"/>
      <c r="J348" s="72"/>
    </row>
    <row r="349" spans="1:10" ht="15.75" customHeight="1">
      <c r="A349" s="132"/>
      <c r="B349" s="152"/>
      <c r="C349" s="149"/>
      <c r="D349" s="34"/>
      <c r="E349" s="38"/>
      <c r="F349" s="6">
        <v>1.15</v>
      </c>
      <c r="G349" s="16"/>
      <c r="H349" s="4" t="s">
        <v>20</v>
      </c>
      <c r="I349" s="71"/>
      <c r="J349" s="72"/>
    </row>
    <row r="350" spans="1:10" ht="15.75" customHeight="1">
      <c r="A350" s="132"/>
      <c r="B350" s="152"/>
      <c r="C350" s="149"/>
      <c r="D350" s="34"/>
      <c r="E350" s="38"/>
      <c r="F350" s="6">
        <v>2.295</v>
      </c>
      <c r="G350" s="16"/>
      <c r="H350" s="4" t="s">
        <v>21</v>
      </c>
      <c r="I350" s="71"/>
      <c r="J350" s="72"/>
    </row>
    <row r="351" spans="1:10" ht="15.75" customHeight="1">
      <c r="A351" s="132"/>
      <c r="B351" s="152"/>
      <c r="C351" s="149"/>
      <c r="D351" s="34"/>
      <c r="E351" s="38"/>
      <c r="F351" s="6">
        <v>0.575</v>
      </c>
      <c r="G351" s="16"/>
      <c r="H351" s="4" t="s">
        <v>22</v>
      </c>
      <c r="I351" s="71"/>
      <c r="J351" s="72"/>
    </row>
    <row r="352" spans="1:10" ht="15.75" customHeight="1">
      <c r="A352" s="132"/>
      <c r="B352" s="153"/>
      <c r="C352" s="150"/>
      <c r="D352" s="35"/>
      <c r="E352" s="38"/>
      <c r="F352" s="6">
        <v>2.295</v>
      </c>
      <c r="G352" s="16"/>
      <c r="H352" s="4" t="s">
        <v>23</v>
      </c>
      <c r="I352" s="71"/>
      <c r="J352" s="72"/>
    </row>
    <row r="353" spans="1:10" ht="15.75" customHeight="1">
      <c r="A353" s="132"/>
      <c r="B353" s="151">
        <v>2016</v>
      </c>
      <c r="C353" s="148">
        <f>F353+F354+F355+F356+F357+F358</f>
        <v>3.5949999999999998</v>
      </c>
      <c r="D353" s="31"/>
      <c r="E353" s="38"/>
      <c r="F353" s="6">
        <f>1.15-1</f>
        <v>0.1499999999999999</v>
      </c>
      <c r="G353" s="16"/>
      <c r="H353" s="4" t="s">
        <v>9</v>
      </c>
      <c r="I353" s="71"/>
      <c r="J353" s="72"/>
    </row>
    <row r="354" spans="1:10" ht="15.75" customHeight="1">
      <c r="A354" s="132"/>
      <c r="B354" s="152"/>
      <c r="C354" s="149"/>
      <c r="D354" s="34"/>
      <c r="E354" s="38"/>
      <c r="F354" s="6">
        <v>0.575</v>
      </c>
      <c r="G354" s="16"/>
      <c r="H354" s="4" t="s">
        <v>19</v>
      </c>
      <c r="I354" s="71"/>
      <c r="J354" s="72"/>
    </row>
    <row r="355" spans="1:10" ht="15.75" customHeight="1">
      <c r="A355" s="132"/>
      <c r="B355" s="152"/>
      <c r="C355" s="149"/>
      <c r="D355" s="34"/>
      <c r="E355" s="38"/>
      <c r="F355" s="6">
        <f>1.15-1.15</f>
        <v>0</v>
      </c>
      <c r="G355" s="16"/>
      <c r="H355" s="4" t="s">
        <v>20</v>
      </c>
      <c r="I355" s="71"/>
      <c r="J355" s="72"/>
    </row>
    <row r="356" spans="1:10" ht="15.75" customHeight="1">
      <c r="A356" s="132"/>
      <c r="B356" s="152"/>
      <c r="C356" s="149"/>
      <c r="D356" s="34"/>
      <c r="E356" s="38"/>
      <c r="F356" s="6">
        <v>2.295</v>
      </c>
      <c r="G356" s="16"/>
      <c r="H356" s="4" t="s">
        <v>21</v>
      </c>
      <c r="I356" s="71"/>
      <c r="J356" s="72"/>
    </row>
    <row r="357" spans="1:10" ht="15.75" customHeight="1">
      <c r="A357" s="132"/>
      <c r="B357" s="152"/>
      <c r="C357" s="149"/>
      <c r="D357" s="34"/>
      <c r="E357" s="38"/>
      <c r="F357" s="6">
        <v>0.575</v>
      </c>
      <c r="G357" s="16"/>
      <c r="H357" s="4" t="s">
        <v>22</v>
      </c>
      <c r="I357" s="71"/>
      <c r="J357" s="72"/>
    </row>
    <row r="358" spans="1:10" ht="15.75" customHeight="1">
      <c r="A358" s="133"/>
      <c r="B358" s="153"/>
      <c r="C358" s="150"/>
      <c r="D358" s="35"/>
      <c r="E358" s="38"/>
      <c r="F358" s="6">
        <f>2.295-2.295</f>
        <v>0</v>
      </c>
      <c r="G358" s="16"/>
      <c r="H358" s="4" t="s">
        <v>23</v>
      </c>
      <c r="I358" s="71"/>
      <c r="J358" s="72"/>
    </row>
    <row r="359" spans="1:10" ht="31.5" customHeight="1">
      <c r="A359" s="24" t="s">
        <v>94</v>
      </c>
      <c r="B359" s="9" t="s">
        <v>93</v>
      </c>
      <c r="C359" s="55">
        <f>C360+C361+C362</f>
        <v>13977.63319</v>
      </c>
      <c r="D359" s="9"/>
      <c r="E359" s="55">
        <f>E360+E361</f>
        <v>1775.2910200000001</v>
      </c>
      <c r="F359" s="55">
        <f>F360+F361+F362</f>
        <v>12202.34217</v>
      </c>
      <c r="G359" s="16"/>
      <c r="H359" s="4"/>
      <c r="I359" s="71"/>
      <c r="J359" s="72"/>
    </row>
    <row r="360" spans="1:10" ht="27" customHeight="1">
      <c r="A360" s="17"/>
      <c r="B360" s="112">
        <v>2014</v>
      </c>
      <c r="C360" s="50">
        <f>E360+F360</f>
        <v>4753.223019999999</v>
      </c>
      <c r="D360" s="23"/>
      <c r="E360" s="56">
        <f>E13+E14+E15+E16+E17+E18+E55+E56+E57+E58+E59+E60+E61+E99+E100+E115+E116+E117+E118+E119+E152+E153+E154+E155+E156+E157+E158+E184+E185+E186+E187+E188+E189+E190+E206+E227+E239+E240+E241+E242+E243+E244+E245+E261+E262+E264+E265+E278+E279+E280+E281+E320+E321+E325</f>
        <v>1535.9910200000002</v>
      </c>
      <c r="F360" s="50">
        <f>F13+F14+F15+F16+F17+F18+F19+F34+F35+F36+F37+F38+F39+F40+F55+F56+F57+F58+F59+F60+F61+F76+F77+F78+F79+F80+F81+F82+F97+F98+F99+F100+F101+F102+F115+F116+F117+F118+F119+F131+F132+F133+F134+F135+F136+F137+F152+F153+F154+F155+F156+F157+F158+F184+F185+F186+F187+F188+F189+F190+F205+F206+F207+F208+F209+F210+F211+F226+F228+F229+F239+F240+F241+F242+F243+F244+F245+F260+F261+F262+F263+F264+F265+F278+F279+F280+F281+F292+F293+F299+F300+F301+F302+F303+F304+F305+F320+F321+F322+F323+F324+F325+F326+F341+F342+F343+F344+F345+F346</f>
        <v>3217.2319999999995</v>
      </c>
      <c r="G360" s="15"/>
      <c r="H360" s="15"/>
      <c r="I360" s="71"/>
      <c r="J360" s="72"/>
    </row>
    <row r="361" spans="1:10" ht="27.75" customHeight="1">
      <c r="A361" s="17"/>
      <c r="B361" s="112">
        <v>2015</v>
      </c>
      <c r="C361" s="50">
        <f>E361+F361</f>
        <v>4309.74417</v>
      </c>
      <c r="D361" s="23"/>
      <c r="E361" s="77">
        <f>E295</f>
        <v>239.3</v>
      </c>
      <c r="F361" s="50">
        <f>F20+F21+F22+F23+F24+F25+F26+F41+F42+F43+F44+F45+F46+F47+F62+F63+F64+F65+F66+F67+F68+F83+F84+F85+F86+F87+F88+F89+F103+F104+F105+F106+F107+F108+F120+F121+F122+F123+F124+F138+F139+F140+F141+F142+F143+F144+F159+F160+F161+F162+F163+F164+F165+F173+F177+F178+F191+F192+F193+F194+F195+F196+F197+F212+F213+F214+F215+F216+F217+F218+F230+F231+F233+F234+F246+F247+F248+F249+F250+F251+F252+F266+F267+F268+F269+F270+F271+F282+F283+F284+F295+F306+F307+F308+F309+F310+F311+F312+F327+F328+F329+F330+F331+F332+F333+F347+F348+F349+F350+F351+F352</f>
        <v>4070.44417</v>
      </c>
      <c r="G361" s="15"/>
      <c r="H361" s="15"/>
      <c r="I361" s="71"/>
      <c r="J361" s="72"/>
    </row>
    <row r="362" spans="1:10" ht="30" customHeight="1">
      <c r="A362" s="17"/>
      <c r="B362" s="112">
        <v>2016</v>
      </c>
      <c r="C362" s="109">
        <f>C27+C48+C69+C90+C109+C125+C145+C166+C198+C219+C235+C253+C272+C179+C232+C285+C286+C313+C334+C353+C294</f>
        <v>4914.666000000001</v>
      </c>
      <c r="D362" s="79"/>
      <c r="E362" s="80"/>
      <c r="F362" s="107">
        <f>F27+F28+F29+F30+F31+F32+F33+F48+F49+F50+F51+F52+F53+F54+F69+F294+F70+F71+F72+F73+F74+F75+F90+F91+F92+F179+F235+F93+F94+F95+F96+F130+F109+F110+F111+F112+F113+F114+F125+F126+F127+F128+F129+F145+F146+F287+F288+F289+F290+F291+F147+F148+F149+F150+F151+F166+F167+F168+F169+F170+F171+F172+F198+F199+F200+F201+F202+F203+F204+F219+F220+F221+F222+F223+F224+F225+F232+F253+F254+F255+F256+F257+F258+F259+F272+F273+F274+F275+F276+F277+F285+F313+F314+F315+F316+F317+F318+F319+F334+F335+F336+F337+F338+F339+F340+F353+F354+F355+F356+F357+F358+F286</f>
        <v>4914.666</v>
      </c>
      <c r="G362" s="15"/>
      <c r="H362" s="15"/>
      <c r="I362" s="37"/>
      <c r="J362" s="72"/>
    </row>
    <row r="363" spans="4:7" ht="19.5" customHeight="1">
      <c r="D363" s="58">
        <v>2015</v>
      </c>
      <c r="E363" s="59"/>
      <c r="F363" s="60"/>
      <c r="G363" s="60">
        <v>2016</v>
      </c>
    </row>
    <row r="364" spans="1:7" ht="18">
      <c r="A364" s="1"/>
      <c r="B364" s="1"/>
      <c r="C364" s="25" t="s">
        <v>61</v>
      </c>
      <c r="D364" s="78">
        <f>F20+F41+F62+F83+F120+F138+F159+F191+F212+F246+F266+F282+F312+F327+F347</f>
        <v>548.3179200000001</v>
      </c>
      <c r="E364" s="45"/>
      <c r="F364" s="25" t="s">
        <v>61</v>
      </c>
      <c r="G364" s="25">
        <f>F27+F48+F69+F90+F125+F145+F166+F198+F219+F253+F272+F285+F319+F334+F353</f>
        <v>505.394</v>
      </c>
    </row>
    <row r="365" spans="1:7" ht="18">
      <c r="A365" s="52"/>
      <c r="B365" s="52">
        <f>C27+C48+C69++C90+C109+C125+C145+C166+C179+C198+C219+C232+C235+C253+C272+C285+C294+C313+C334+C353</f>
        <v>4914.666000000001</v>
      </c>
      <c r="C365" s="25" t="s">
        <v>62</v>
      </c>
      <c r="D365" s="78">
        <f>F21+F42+F63+F84+F103+F121+F139+F160+F178+F192+F213+F247+F267+F283+E295+F306+F328</f>
        <v>1068.6486</v>
      </c>
      <c r="E365" s="45"/>
      <c r="F365" s="25" t="s">
        <v>62</v>
      </c>
      <c r="G365" s="25">
        <f>F28+F49+F70+F91+F109+F126+F146+F167+F199+F220+F254+F273+F313+F335</f>
        <v>546.924</v>
      </c>
    </row>
    <row r="366" spans="1:7" ht="21.75" customHeight="1">
      <c r="A366" s="1"/>
      <c r="B366" s="1"/>
      <c r="C366" s="1" t="s">
        <v>63</v>
      </c>
      <c r="D366" s="78">
        <f>F22+F43+F64+F85+F104+F122+F140+F161+F193+F214+F231+F248+F268+F307+F329+F348</f>
        <v>331.267</v>
      </c>
      <c r="E366" s="45"/>
      <c r="F366" s="1" t="s">
        <v>63</v>
      </c>
      <c r="G366" s="57">
        <f>F29+F50+F71+F92+F110+F127+F147+F168+F200+F221+F255+F274+F314+F336+F354</f>
        <v>383.899</v>
      </c>
    </row>
    <row r="367" spans="1:8" ht="18">
      <c r="A367" s="1"/>
      <c r="B367" s="26"/>
      <c r="C367" s="40" t="s">
        <v>64</v>
      </c>
      <c r="D367" s="78">
        <f>F23+F44+F65+F86+F105+F141+F162+F177+F194+F215+F249+F269+F308+F330+F349</f>
        <v>531.20737</v>
      </c>
      <c r="E367" s="27"/>
      <c r="F367" s="40" t="s">
        <v>64</v>
      </c>
      <c r="G367" s="40">
        <f>F30+F51+F72+F93+F111+F148+F169+F201+F222+F256+F275+F315+F337+F355</f>
        <v>428.354</v>
      </c>
      <c r="H367" s="3"/>
    </row>
    <row r="368" spans="1:8" ht="18" customHeight="1">
      <c r="A368" s="1"/>
      <c r="B368" s="26"/>
      <c r="C368" s="40" t="s">
        <v>65</v>
      </c>
      <c r="D368" s="78">
        <f>F24+F45+F66+F87+F106+F123+F142+F163+F195+F216+F230+F250+F284+F309+F331+F350</f>
        <v>680.0261800000001</v>
      </c>
      <c r="E368" s="27"/>
      <c r="F368" s="40" t="s">
        <v>65</v>
      </c>
      <c r="G368" s="27">
        <f>F31+F52+F73+F94+F112+F128+F149+F170+F202+F223+F257+F316+F338+F356</f>
        <v>654.274</v>
      </c>
      <c r="H368" s="3"/>
    </row>
    <row r="369" spans="1:8" ht="18.75" customHeight="1">
      <c r="A369" s="51"/>
      <c r="B369" s="26"/>
      <c r="C369" s="40" t="s">
        <v>66</v>
      </c>
      <c r="D369" s="78">
        <f>F25+F46+F67+F88+F107+F143+F164+F196+F217+F251+F270+F310+F332+F351</f>
        <v>381.52168</v>
      </c>
      <c r="E369" s="27"/>
      <c r="F369" s="40" t="s">
        <v>66</v>
      </c>
      <c r="G369" s="27">
        <f>F32+F53+F74+F95+F113+F150+F171+F203+F224+F258+F276+F317+F339+F357</f>
        <v>400.929</v>
      </c>
      <c r="H369" s="3"/>
    </row>
    <row r="370" spans="1:9" ht="20.25" customHeight="1">
      <c r="A370" s="51"/>
      <c r="B370" s="26"/>
      <c r="C370" s="40" t="s">
        <v>67</v>
      </c>
      <c r="D370" s="78">
        <f>F26+F47+F68+F89+F108+F144+F165+F197+F218+F252+F271+F311+F333+F352</f>
        <v>768.7554200000001</v>
      </c>
      <c r="E370" s="27"/>
      <c r="F370" s="40" t="s">
        <v>67</v>
      </c>
      <c r="G370" s="27">
        <f>F33+F54+F75+F96+F114+F129+F151+F172+F204+F225+F259+F277+F318+F340+F358</f>
        <v>625.315</v>
      </c>
      <c r="H370" s="3"/>
      <c r="I370" s="51"/>
    </row>
    <row r="371" spans="1:10" ht="16.5" customHeight="1">
      <c r="A371" s="51"/>
      <c r="B371" s="27"/>
      <c r="C371" s="40"/>
      <c r="D371" s="25"/>
      <c r="E371" s="27"/>
      <c r="F371" s="40"/>
      <c r="G371" s="27"/>
      <c r="H371" s="3"/>
      <c r="I371" s="51"/>
      <c r="J371" s="51"/>
    </row>
    <row r="372" spans="1:10" ht="18" customHeight="1">
      <c r="A372" s="51"/>
      <c r="B372" s="28"/>
      <c r="C372" s="40"/>
      <c r="D372" s="25"/>
      <c r="E372" s="27"/>
      <c r="F372" s="40"/>
      <c r="G372" s="27">
        <f>G364+G365+G366+G367+G368+G369+G370</f>
        <v>3545.0890000000004</v>
      </c>
      <c r="H372" s="3">
        <f>H376+H377+H378+H382</f>
        <v>2634.532</v>
      </c>
      <c r="I372" s="51" t="s">
        <v>91</v>
      </c>
      <c r="J372" s="51"/>
    </row>
    <row r="373" spans="1:10" ht="21" customHeight="1">
      <c r="A373" s="51"/>
      <c r="B373" s="28"/>
      <c r="C373" s="40"/>
      <c r="D373" s="52">
        <f>SUM(D364:D370)</f>
        <v>4309.74417</v>
      </c>
      <c r="E373" s="27"/>
      <c r="F373" s="40"/>
      <c r="G373" s="27"/>
      <c r="H373" s="3"/>
      <c r="I373" s="51"/>
      <c r="J373" s="51"/>
    </row>
    <row r="374" spans="1:9" ht="15" customHeight="1">
      <c r="A374" s="51"/>
      <c r="B374" s="2"/>
      <c r="C374" s="3"/>
      <c r="F374" s="3"/>
      <c r="I374" s="51"/>
    </row>
    <row r="375" spans="1:9" ht="18.75" customHeight="1">
      <c r="A375" s="64" t="s">
        <v>73</v>
      </c>
      <c r="B375" s="135" t="s">
        <v>69</v>
      </c>
      <c r="C375" s="135"/>
      <c r="D375" s="135" t="s">
        <v>70</v>
      </c>
      <c r="E375" s="135"/>
      <c r="F375" s="61" t="s">
        <v>71</v>
      </c>
      <c r="G375" s="61" t="s">
        <v>72</v>
      </c>
      <c r="H375" s="39"/>
      <c r="I375" s="51"/>
    </row>
    <row r="376" spans="1:10" ht="21" customHeight="1">
      <c r="A376" s="61"/>
      <c r="B376" s="25" t="s">
        <v>61</v>
      </c>
      <c r="C376" s="92">
        <f>F27+F48+F69+F90+F125+F145+F166+C179</f>
        <v>169.2</v>
      </c>
      <c r="D376" s="93"/>
      <c r="E376" s="94">
        <f aca="true" t="shared" si="0" ref="E376:E382">F198+F219</f>
        <v>17</v>
      </c>
      <c r="F376" s="105">
        <f>F253+F272+F285</f>
        <v>109.844</v>
      </c>
      <c r="G376" s="95">
        <f>F319+F334+F353</f>
        <v>217.35</v>
      </c>
      <c r="H376" s="96">
        <f aca="true" t="shared" si="1" ref="H376:H382">C376+E376+F376+G376</f>
        <v>513.394</v>
      </c>
      <c r="I376" s="51"/>
      <c r="J376" s="2"/>
    </row>
    <row r="377" spans="1:9" ht="23.25">
      <c r="A377" s="51"/>
      <c r="B377" s="25" t="s">
        <v>62</v>
      </c>
      <c r="C377" s="92">
        <f>F28+F49+F70+F91+F109+F126+F146+F167</f>
        <v>125.99199999999999</v>
      </c>
      <c r="D377" s="97"/>
      <c r="E377" s="94">
        <f t="shared" si="0"/>
        <v>24</v>
      </c>
      <c r="F377" s="105">
        <f>F254+F273+F286+F294</f>
        <v>385.332</v>
      </c>
      <c r="G377" s="95">
        <f>F313+F335</f>
        <v>341.6</v>
      </c>
      <c r="H377" s="108">
        <f t="shared" si="1"/>
        <v>876.924</v>
      </c>
      <c r="I377" s="103">
        <v>688.602</v>
      </c>
    </row>
    <row r="378" spans="1:9" ht="20.25" customHeight="1">
      <c r="A378" s="51"/>
      <c r="B378" s="1" t="s">
        <v>63</v>
      </c>
      <c r="C378" s="92">
        <f>F29+F50+F71+F92+F110+F127+F147+F168</f>
        <v>196.36190000000002</v>
      </c>
      <c r="D378" s="98"/>
      <c r="E378" s="99">
        <f t="shared" si="0"/>
        <v>14</v>
      </c>
      <c r="F378" s="100">
        <f>F255+F274+F287</f>
        <v>206.5721</v>
      </c>
      <c r="G378" s="95">
        <f>F314+F336+F354</f>
        <v>101.96499999999999</v>
      </c>
      <c r="H378" s="96">
        <f t="shared" si="1"/>
        <v>518.899</v>
      </c>
      <c r="I378" s="51"/>
    </row>
    <row r="379" spans="2:9" ht="18" customHeight="1">
      <c r="B379" s="40" t="s">
        <v>64</v>
      </c>
      <c r="C379" s="91">
        <f>F30+F51+F72+F93+F111+F148+F169+F130</f>
        <v>146.05128</v>
      </c>
      <c r="D379" s="101"/>
      <c r="E379" s="106">
        <f t="shared" si="0"/>
        <v>13</v>
      </c>
      <c r="F379" s="106">
        <f>F256+F275+F288</f>
        <v>266.30472</v>
      </c>
      <c r="G379" s="106">
        <f>F315+F337+F355</f>
        <v>222.6</v>
      </c>
      <c r="H379" s="102">
        <f t="shared" si="1"/>
        <v>647.956</v>
      </c>
      <c r="I379" s="51"/>
    </row>
    <row r="380" spans="2:9" ht="18.75" customHeight="1">
      <c r="B380" s="40" t="s">
        <v>65</v>
      </c>
      <c r="C380" s="91">
        <f>F31+F52+F73+F94+F112+F128+F149+F170</f>
        <v>196.075</v>
      </c>
      <c r="D380" s="101"/>
      <c r="E380" s="106">
        <f>F202+F223+F235</f>
        <v>121.775</v>
      </c>
      <c r="F380" s="106">
        <f>F257+F289</f>
        <v>344.304</v>
      </c>
      <c r="G380" s="106">
        <f>F316+F338+F356</f>
        <v>393.39500000000004</v>
      </c>
      <c r="H380" s="102">
        <f t="shared" si="1"/>
        <v>1055.549</v>
      </c>
      <c r="I380" s="103">
        <v>-688.602</v>
      </c>
    </row>
    <row r="381" spans="2:9" ht="18.75" customHeight="1">
      <c r="B381" s="40" t="s">
        <v>66</v>
      </c>
      <c r="C381" s="91">
        <f>F32+F53+F74+F95+F113+F150+F171</f>
        <v>148.285</v>
      </c>
      <c r="D381" s="101"/>
      <c r="E381" s="106">
        <f t="shared" si="0"/>
        <v>14.5</v>
      </c>
      <c r="F381" s="106">
        <f>F258+F276+F290</f>
        <v>198.56900000000002</v>
      </c>
      <c r="G381" s="106">
        <f>F317+F339+F357</f>
        <v>199.575</v>
      </c>
      <c r="H381" s="102">
        <f t="shared" si="1"/>
        <v>560.9290000000001</v>
      </c>
      <c r="I381" s="51"/>
    </row>
    <row r="382" spans="2:9" ht="20.25" customHeight="1">
      <c r="B382" s="40" t="s">
        <v>67</v>
      </c>
      <c r="C382" s="92">
        <f>F33+F54+F75+F96+F114+F129+F151+F172</f>
        <v>182.68</v>
      </c>
      <c r="D382" s="97"/>
      <c r="E382" s="95">
        <f t="shared" si="0"/>
        <v>20</v>
      </c>
      <c r="F382" s="105">
        <f>F259+F277+F291</f>
        <v>386.02</v>
      </c>
      <c r="G382" s="95">
        <f>F318+F340+F358</f>
        <v>136.615</v>
      </c>
      <c r="H382" s="96">
        <f t="shared" si="1"/>
        <v>725.315</v>
      </c>
      <c r="I382" s="51"/>
    </row>
    <row r="383" spans="2:9" ht="18.75" customHeight="1">
      <c r="B383" s="26"/>
      <c r="C383" s="62">
        <f>C376+C377+C378+C379+C380+C381+C382</f>
        <v>1164.64518</v>
      </c>
      <c r="D383" s="3"/>
      <c r="E383" s="63">
        <f>E376+E377+E378+E379+E380+E381+E382</f>
        <v>224.275</v>
      </c>
      <c r="F383" s="63">
        <f>F376+F377+F378+F379+F380+F381+F382</f>
        <v>1896.94582</v>
      </c>
      <c r="G383" s="63">
        <f>G376+G377+G378+G379+G380+G381+G382</f>
        <v>1613.1000000000001</v>
      </c>
      <c r="H383" s="63">
        <f>H376+H377+H378+H379+H380+H381+H382</f>
        <v>4898.966</v>
      </c>
      <c r="I383" s="51"/>
    </row>
    <row r="384" spans="2:9" ht="18.75" customHeight="1">
      <c r="B384" s="27"/>
      <c r="E384" s="27"/>
      <c r="F384" s="3"/>
      <c r="I384" s="51"/>
    </row>
    <row r="385" spans="2:9" ht="18.75" customHeight="1">
      <c r="B385" s="28"/>
      <c r="E385" s="85"/>
      <c r="F385" s="3"/>
      <c r="I385" s="51"/>
    </row>
    <row r="386" spans="2:9" ht="17.25" customHeight="1">
      <c r="B386" s="28"/>
      <c r="E386" s="28"/>
      <c r="F386" s="3"/>
      <c r="I386" s="51"/>
    </row>
    <row r="387" ht="12.75">
      <c r="I387" s="51"/>
    </row>
    <row r="388" spans="6:9" ht="12.75">
      <c r="F388" s="3"/>
      <c r="I388" s="51"/>
    </row>
    <row r="389" ht="12.75">
      <c r="I389" s="51"/>
    </row>
    <row r="390" ht="12.75">
      <c r="I390" s="51"/>
    </row>
    <row r="391" ht="12.75">
      <c r="I391" s="51"/>
    </row>
  </sheetData>
  <sheetProtection selectLockedCells="1" selectUnlockedCells="1"/>
  <mergeCells count="179">
    <mergeCell ref="A178:A179"/>
    <mergeCell ref="A180:I180"/>
    <mergeCell ref="C191:C197"/>
    <mergeCell ref="A181:I181"/>
    <mergeCell ref="I184:I204"/>
    <mergeCell ref="A182:I182"/>
    <mergeCell ref="A184:A204"/>
    <mergeCell ref="C198:C204"/>
    <mergeCell ref="C184:C190"/>
    <mergeCell ref="I173:I177"/>
    <mergeCell ref="H173:H176"/>
    <mergeCell ref="G173:G176"/>
    <mergeCell ref="E173:E176"/>
    <mergeCell ref="F173:F176"/>
    <mergeCell ref="A173:A177"/>
    <mergeCell ref="B173:B177"/>
    <mergeCell ref="B219:B225"/>
    <mergeCell ref="D228:D229"/>
    <mergeCell ref="D125:D130"/>
    <mergeCell ref="A115:A130"/>
    <mergeCell ref="B125:B130"/>
    <mergeCell ref="C125:C130"/>
    <mergeCell ref="C173:C177"/>
    <mergeCell ref="B184:B190"/>
    <mergeCell ref="B205:B211"/>
    <mergeCell ref="C205:C211"/>
    <mergeCell ref="C212:C218"/>
    <mergeCell ref="B212:B218"/>
    <mergeCell ref="A226:A227"/>
    <mergeCell ref="A236:I236"/>
    <mergeCell ref="A237:I237"/>
    <mergeCell ref="E228:E229"/>
    <mergeCell ref="C228:C229"/>
    <mergeCell ref="I205:I225"/>
    <mergeCell ref="C226:C227"/>
    <mergeCell ref="C219:C225"/>
    <mergeCell ref="D278:D281"/>
    <mergeCell ref="C230:C231"/>
    <mergeCell ref="C246:C252"/>
    <mergeCell ref="B228:B229"/>
    <mergeCell ref="A233:A235"/>
    <mergeCell ref="B230:B231"/>
    <mergeCell ref="B266:B271"/>
    <mergeCell ref="C266:C271"/>
    <mergeCell ref="A260:A277"/>
    <mergeCell ref="C166:C172"/>
    <mergeCell ref="K305:K325"/>
    <mergeCell ref="C313:C319"/>
    <mergeCell ref="C320:C326"/>
    <mergeCell ref="A298:I298"/>
    <mergeCell ref="B282:B284"/>
    <mergeCell ref="C282:C284"/>
    <mergeCell ref="A296:I296"/>
    <mergeCell ref="I260:I264"/>
    <mergeCell ref="A278:A291"/>
    <mergeCell ref="C159:C165"/>
    <mergeCell ref="B152:B158"/>
    <mergeCell ref="B260:B265"/>
    <mergeCell ref="C272:C277"/>
    <mergeCell ref="B272:B277"/>
    <mergeCell ref="C239:C245"/>
    <mergeCell ref="A238:I238"/>
    <mergeCell ref="I152:I172"/>
    <mergeCell ref="C152:C158"/>
    <mergeCell ref="B226:B227"/>
    <mergeCell ref="I299:I318"/>
    <mergeCell ref="A297:I297"/>
    <mergeCell ref="B278:B281"/>
    <mergeCell ref="C278:C281"/>
    <mergeCell ref="I131:I151"/>
    <mergeCell ref="I239:I259"/>
    <mergeCell ref="A239:A259"/>
    <mergeCell ref="B253:B259"/>
    <mergeCell ref="D226:D227"/>
    <mergeCell ref="C260:C265"/>
    <mergeCell ref="B353:B358"/>
    <mergeCell ref="C353:C358"/>
    <mergeCell ref="B347:B352"/>
    <mergeCell ref="C347:C352"/>
    <mergeCell ref="B341:B346"/>
    <mergeCell ref="C327:C333"/>
    <mergeCell ref="B327:B333"/>
    <mergeCell ref="C341:C346"/>
    <mergeCell ref="B334:B340"/>
    <mergeCell ref="I5:I7"/>
    <mergeCell ref="G6:G7"/>
    <mergeCell ref="A9:I9"/>
    <mergeCell ref="C145:C151"/>
    <mergeCell ref="I34:I54"/>
    <mergeCell ref="I115:I129"/>
    <mergeCell ref="B48:B54"/>
    <mergeCell ref="B34:B40"/>
    <mergeCell ref="I97:I114"/>
    <mergeCell ref="I76:I96"/>
    <mergeCell ref="A3:I3"/>
    <mergeCell ref="A5:A7"/>
    <mergeCell ref="B5:B7"/>
    <mergeCell ref="C5:C7"/>
    <mergeCell ref="H5:H7"/>
    <mergeCell ref="B76:B82"/>
    <mergeCell ref="D5:G5"/>
    <mergeCell ref="D6:D7"/>
    <mergeCell ref="E6:F6"/>
    <mergeCell ref="C48:C54"/>
    <mergeCell ref="A10:I10"/>
    <mergeCell ref="A34:A54"/>
    <mergeCell ref="B41:B47"/>
    <mergeCell ref="C109:C114"/>
    <mergeCell ref="C41:C47"/>
    <mergeCell ref="B13:B19"/>
    <mergeCell ref="A13:A33"/>
    <mergeCell ref="A55:A75"/>
    <mergeCell ref="A76:A96"/>
    <mergeCell ref="I55:I75"/>
    <mergeCell ref="B62:B68"/>
    <mergeCell ref="C76:C82"/>
    <mergeCell ref="C83:C89"/>
    <mergeCell ref="B83:B89"/>
    <mergeCell ref="C34:C40"/>
    <mergeCell ref="C55:C61"/>
    <mergeCell ref="B69:B75"/>
    <mergeCell ref="A97:A114"/>
    <mergeCell ref="B97:B102"/>
    <mergeCell ref="C97:C102"/>
    <mergeCell ref="C103:C108"/>
    <mergeCell ref="C138:C144"/>
    <mergeCell ref="B120:B124"/>
    <mergeCell ref="C115:C119"/>
    <mergeCell ref="C131:C137"/>
    <mergeCell ref="B145:B151"/>
    <mergeCell ref="B20:B26"/>
    <mergeCell ref="B55:B61"/>
    <mergeCell ref="B90:B96"/>
    <mergeCell ref="C90:C96"/>
    <mergeCell ref="B191:B197"/>
    <mergeCell ref="C120:C124"/>
    <mergeCell ref="C62:C68"/>
    <mergeCell ref="C69:C75"/>
    <mergeCell ref="B138:B144"/>
    <mergeCell ref="C306:C312"/>
    <mergeCell ref="B320:B326"/>
    <mergeCell ref="B306:B312"/>
    <mergeCell ref="C299:C305"/>
    <mergeCell ref="B299:B305"/>
    <mergeCell ref="C253:C259"/>
    <mergeCell ref="C285:C291"/>
    <mergeCell ref="C292:C293"/>
    <mergeCell ref="B292:B293"/>
    <mergeCell ref="B285:B291"/>
    <mergeCell ref="A205:A225"/>
    <mergeCell ref="A341:A358"/>
    <mergeCell ref="B103:B108"/>
    <mergeCell ref="B109:B114"/>
    <mergeCell ref="A228:A229"/>
    <mergeCell ref="B159:B165"/>
    <mergeCell ref="B115:B119"/>
    <mergeCell ref="A152:A172"/>
    <mergeCell ref="B166:B172"/>
    <mergeCell ref="B131:B137"/>
    <mergeCell ref="C27:C33"/>
    <mergeCell ref="B27:B33"/>
    <mergeCell ref="B239:B245"/>
    <mergeCell ref="C334:C340"/>
    <mergeCell ref="B375:C375"/>
    <mergeCell ref="A131:A151"/>
    <mergeCell ref="B198:B204"/>
    <mergeCell ref="B313:B319"/>
    <mergeCell ref="A320:A340"/>
    <mergeCell ref="B246:B252"/>
    <mergeCell ref="C20:C26"/>
    <mergeCell ref="A230:A232"/>
    <mergeCell ref="A299:A319"/>
    <mergeCell ref="C1:I1"/>
    <mergeCell ref="A292:A294"/>
    <mergeCell ref="D375:E375"/>
    <mergeCell ref="A12:I12"/>
    <mergeCell ref="A11:I11"/>
    <mergeCell ref="C13:C19"/>
    <mergeCell ref="I13:I33"/>
  </mergeCells>
  <printOptions/>
  <pageMargins left="0.1968503937007874" right="0.1968503937007874" top="0.5905511811023623" bottom="0.31496062992125984" header="0.5118110236220472" footer="0.6299212598425197"/>
  <pageSetup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1"/>
  <sheetViews>
    <sheetView tabSelected="1" zoomScale="75" zoomScaleNormal="75" zoomScaleSheetLayoutView="75" workbookViewId="0" topLeftCell="A1">
      <selection activeCell="J12" sqref="J12"/>
    </sheetView>
  </sheetViews>
  <sheetFormatPr defaultColWidth="9.00390625" defaultRowHeight="12.75"/>
  <cols>
    <col min="1" max="1" width="28.25390625" style="0" customWidth="1"/>
    <col min="2" max="2" width="15.875" style="0" customWidth="1"/>
    <col min="3" max="3" width="13.375" style="0" customWidth="1"/>
    <col min="4" max="4" width="16.75390625" style="0" customWidth="1"/>
    <col min="5" max="5" width="13.375" style="2" customWidth="1"/>
    <col min="6" max="6" width="16.125" style="0" customWidth="1"/>
    <col min="7" max="7" width="15.00390625" style="0" customWidth="1"/>
    <col min="8" max="8" width="33.75390625" style="0" customWidth="1"/>
    <col min="9" max="9" width="43.125" style="0" customWidth="1"/>
    <col min="10" max="10" width="11.375" style="0" customWidth="1"/>
    <col min="11" max="11" width="17.875" style="0" customWidth="1"/>
  </cols>
  <sheetData>
    <row r="1" spans="2:11" ht="21" customHeight="1">
      <c r="B1" s="201" t="s">
        <v>97</v>
      </c>
      <c r="C1" s="201"/>
      <c r="D1" s="201"/>
      <c r="E1" s="201"/>
      <c r="F1" s="201"/>
      <c r="G1" s="201"/>
      <c r="H1" s="201"/>
      <c r="I1" s="201"/>
      <c r="J1" s="47"/>
      <c r="K1" s="46"/>
    </row>
    <row r="2" spans="8:9" ht="15">
      <c r="H2" s="29"/>
      <c r="I2" s="30"/>
    </row>
    <row r="3" spans="1:9" ht="28.5" customHeight="1">
      <c r="A3" s="163" t="s">
        <v>60</v>
      </c>
      <c r="B3" s="163"/>
      <c r="C3" s="163"/>
      <c r="D3" s="163"/>
      <c r="E3" s="163"/>
      <c r="F3" s="163"/>
      <c r="G3" s="163"/>
      <c r="H3" s="163"/>
      <c r="I3" s="163"/>
    </row>
    <row r="5" spans="1:9" ht="15" customHeight="1">
      <c r="A5" s="164" t="s">
        <v>0</v>
      </c>
      <c r="B5" s="164" t="s">
        <v>1</v>
      </c>
      <c r="C5" s="164" t="s">
        <v>2</v>
      </c>
      <c r="D5" s="165" t="s">
        <v>40</v>
      </c>
      <c r="E5" s="166"/>
      <c r="F5" s="166"/>
      <c r="G5" s="167"/>
      <c r="H5" s="164" t="s">
        <v>3</v>
      </c>
      <c r="I5" s="164" t="s">
        <v>4</v>
      </c>
    </row>
    <row r="6" spans="1:9" ht="15.75" customHeight="1">
      <c r="A6" s="164"/>
      <c r="B6" s="164"/>
      <c r="C6" s="164"/>
      <c r="D6" s="168" t="s">
        <v>42</v>
      </c>
      <c r="E6" s="165" t="s">
        <v>53</v>
      </c>
      <c r="F6" s="167"/>
      <c r="G6" s="168" t="s">
        <v>43</v>
      </c>
      <c r="H6" s="164"/>
      <c r="I6" s="164"/>
    </row>
    <row r="7" spans="1:9" ht="86.25" customHeight="1">
      <c r="A7" s="164"/>
      <c r="B7" s="164"/>
      <c r="C7" s="164"/>
      <c r="D7" s="169"/>
      <c r="E7" s="43" t="s">
        <v>37</v>
      </c>
      <c r="F7" s="36" t="s">
        <v>41</v>
      </c>
      <c r="G7" s="169"/>
      <c r="H7" s="164"/>
      <c r="I7" s="164"/>
    </row>
    <row r="8" spans="1:9" ht="12.75">
      <c r="A8" s="18">
        <v>1</v>
      </c>
      <c r="B8" s="18">
        <v>2</v>
      </c>
      <c r="C8" s="18">
        <v>3</v>
      </c>
      <c r="D8" s="18">
        <v>4</v>
      </c>
      <c r="E8" s="49">
        <v>5</v>
      </c>
      <c r="F8" s="18">
        <v>6</v>
      </c>
      <c r="G8" s="18">
        <v>7</v>
      </c>
      <c r="H8" s="18">
        <v>8</v>
      </c>
      <c r="I8" s="18">
        <v>9</v>
      </c>
    </row>
    <row r="9" spans="1:9" ht="22.5" customHeight="1">
      <c r="A9" s="170" t="s">
        <v>75</v>
      </c>
      <c r="B9" s="171"/>
      <c r="C9" s="171"/>
      <c r="D9" s="171"/>
      <c r="E9" s="171"/>
      <c r="F9" s="171"/>
      <c r="G9" s="171"/>
      <c r="H9" s="171"/>
      <c r="I9" s="172"/>
    </row>
    <row r="10" spans="1:9" ht="16.5" customHeight="1">
      <c r="A10" s="162" t="s">
        <v>5</v>
      </c>
      <c r="B10" s="162"/>
      <c r="C10" s="162"/>
      <c r="D10" s="162"/>
      <c r="E10" s="162"/>
      <c r="F10" s="162"/>
      <c r="G10" s="162"/>
      <c r="H10" s="162"/>
      <c r="I10" s="162"/>
    </row>
    <row r="11" spans="1:9" ht="15.75" customHeight="1">
      <c r="A11" s="139" t="s">
        <v>82</v>
      </c>
      <c r="B11" s="140"/>
      <c r="C11" s="140"/>
      <c r="D11" s="140"/>
      <c r="E11" s="140"/>
      <c r="F11" s="140"/>
      <c r="G11" s="140"/>
      <c r="H11" s="140"/>
      <c r="I11" s="141"/>
    </row>
    <row r="12" spans="1:9" ht="15.75" customHeight="1">
      <c r="A12" s="136" t="s">
        <v>6</v>
      </c>
      <c r="B12" s="137"/>
      <c r="C12" s="137"/>
      <c r="D12" s="137"/>
      <c r="E12" s="137"/>
      <c r="F12" s="137"/>
      <c r="G12" s="137"/>
      <c r="H12" s="137"/>
      <c r="I12" s="138"/>
    </row>
    <row r="13" spans="1:9" ht="15" customHeight="1">
      <c r="A13" s="131" t="s">
        <v>89</v>
      </c>
      <c r="B13" s="151">
        <v>2014</v>
      </c>
      <c r="C13" s="142">
        <f>F13+F14+F15+F16+F17+F18+F19+E13+E14+E15+E16+E17+E18+E19</f>
        <v>84.714</v>
      </c>
      <c r="D13" s="31"/>
      <c r="E13" s="6">
        <v>15</v>
      </c>
      <c r="F13" s="19">
        <v>0</v>
      </c>
      <c r="G13" s="14"/>
      <c r="H13" s="4" t="s">
        <v>9</v>
      </c>
      <c r="I13" s="145" t="s">
        <v>74</v>
      </c>
    </row>
    <row r="14" spans="1:10" ht="15" customHeight="1">
      <c r="A14" s="132"/>
      <c r="B14" s="152"/>
      <c r="C14" s="143"/>
      <c r="D14" s="34"/>
      <c r="E14" s="6">
        <v>0</v>
      </c>
      <c r="F14" s="6">
        <v>0</v>
      </c>
      <c r="G14" s="5" t="s">
        <v>7</v>
      </c>
      <c r="H14" s="4" t="s">
        <v>10</v>
      </c>
      <c r="I14" s="146"/>
      <c r="J14" s="72"/>
    </row>
    <row r="15" spans="1:10" ht="16.5" customHeight="1">
      <c r="A15" s="132"/>
      <c r="B15" s="152"/>
      <c r="C15" s="143"/>
      <c r="D15" s="34"/>
      <c r="E15" s="6">
        <v>0</v>
      </c>
      <c r="F15" s="6">
        <v>0</v>
      </c>
      <c r="G15" s="5"/>
      <c r="H15" s="4" t="s">
        <v>14</v>
      </c>
      <c r="I15" s="146"/>
      <c r="J15" s="72"/>
    </row>
    <row r="16" spans="1:10" ht="15" customHeight="1">
      <c r="A16" s="132"/>
      <c r="B16" s="152"/>
      <c r="C16" s="143"/>
      <c r="D16" s="34"/>
      <c r="E16" s="6">
        <v>15</v>
      </c>
      <c r="F16" s="6">
        <v>0</v>
      </c>
      <c r="G16" s="5"/>
      <c r="H16" s="4" t="s">
        <v>11</v>
      </c>
      <c r="I16" s="146"/>
      <c r="J16" s="72"/>
    </row>
    <row r="17" spans="1:10" ht="15" customHeight="1">
      <c r="A17" s="132"/>
      <c r="B17" s="152"/>
      <c r="C17" s="143"/>
      <c r="D17" s="34"/>
      <c r="E17" s="6"/>
      <c r="F17" s="6">
        <v>20.214</v>
      </c>
      <c r="G17" s="5"/>
      <c r="H17" s="4" t="s">
        <v>12</v>
      </c>
      <c r="I17" s="146"/>
      <c r="J17" s="72"/>
    </row>
    <row r="18" spans="1:10" ht="18.75" customHeight="1">
      <c r="A18" s="132"/>
      <c r="B18" s="152"/>
      <c r="C18" s="143"/>
      <c r="D18" s="34"/>
      <c r="E18" s="6">
        <f>5+5</f>
        <v>10</v>
      </c>
      <c r="F18" s="6">
        <v>9.5</v>
      </c>
      <c r="G18" s="5"/>
      <c r="H18" s="4" t="s">
        <v>18</v>
      </c>
      <c r="I18" s="146"/>
      <c r="J18" s="72"/>
    </row>
    <row r="19" spans="1:10" ht="16.5" customHeight="1">
      <c r="A19" s="132"/>
      <c r="B19" s="153"/>
      <c r="C19" s="144"/>
      <c r="D19" s="35"/>
      <c r="E19" s="42"/>
      <c r="F19" s="6">
        <v>15</v>
      </c>
      <c r="G19" s="5"/>
      <c r="H19" s="4" t="s">
        <v>13</v>
      </c>
      <c r="I19" s="146"/>
      <c r="J19" s="72"/>
    </row>
    <row r="20" spans="1:10" ht="18.75" customHeight="1">
      <c r="A20" s="132"/>
      <c r="B20" s="151">
        <v>2015</v>
      </c>
      <c r="C20" s="125">
        <f>SUM(F20:F26)</f>
        <v>37.22845</v>
      </c>
      <c r="D20" s="31"/>
      <c r="E20" s="42"/>
      <c r="F20" s="6">
        <v>15</v>
      </c>
      <c r="G20" s="5"/>
      <c r="H20" s="4" t="s">
        <v>9</v>
      </c>
      <c r="I20" s="146"/>
      <c r="J20" s="72"/>
    </row>
    <row r="21" spans="1:10" ht="18.75" customHeight="1">
      <c r="A21" s="132"/>
      <c r="B21" s="152"/>
      <c r="C21" s="126"/>
      <c r="D21" s="34"/>
      <c r="E21" s="42"/>
      <c r="F21" s="6">
        <v>0</v>
      </c>
      <c r="G21" s="5"/>
      <c r="H21" s="4" t="s">
        <v>10</v>
      </c>
      <c r="I21" s="146"/>
      <c r="J21" s="72"/>
    </row>
    <row r="22" spans="1:10" ht="13.5" customHeight="1">
      <c r="A22" s="132"/>
      <c r="B22" s="152"/>
      <c r="C22" s="126"/>
      <c r="D22" s="34"/>
      <c r="E22" s="42"/>
      <c r="F22" s="75">
        <f>22.4-22.4</f>
        <v>0</v>
      </c>
      <c r="G22" s="5"/>
      <c r="H22" s="4" t="s">
        <v>14</v>
      </c>
      <c r="I22" s="146"/>
      <c r="J22" s="72">
        <v>340</v>
      </c>
    </row>
    <row r="23" spans="1:10" ht="15.75" customHeight="1">
      <c r="A23" s="132"/>
      <c r="B23" s="152"/>
      <c r="C23" s="126"/>
      <c r="D23" s="34"/>
      <c r="E23" s="42"/>
      <c r="F23" s="22">
        <f>7.907-0.5-0.17855</f>
        <v>7.2284500000000005</v>
      </c>
      <c r="G23" s="5"/>
      <c r="H23" s="4" t="s">
        <v>11</v>
      </c>
      <c r="I23" s="146"/>
      <c r="J23" s="72"/>
    </row>
    <row r="24" spans="1:10" ht="15" customHeight="1">
      <c r="A24" s="132"/>
      <c r="B24" s="152"/>
      <c r="C24" s="126"/>
      <c r="D24" s="34"/>
      <c r="E24" s="42"/>
      <c r="F24" s="6">
        <v>0</v>
      </c>
      <c r="G24" s="5"/>
      <c r="H24" s="4" t="s">
        <v>12</v>
      </c>
      <c r="I24" s="146"/>
      <c r="J24" s="72"/>
    </row>
    <row r="25" spans="1:10" ht="18.75" customHeight="1">
      <c r="A25" s="132"/>
      <c r="B25" s="152"/>
      <c r="C25" s="126"/>
      <c r="D25" s="34"/>
      <c r="E25" s="42"/>
      <c r="F25" s="6">
        <v>0</v>
      </c>
      <c r="G25" s="5"/>
      <c r="H25" s="4" t="s">
        <v>18</v>
      </c>
      <c r="I25" s="146"/>
      <c r="J25" s="72"/>
    </row>
    <row r="26" spans="1:10" ht="15.75" customHeight="1">
      <c r="A26" s="132"/>
      <c r="B26" s="153"/>
      <c r="C26" s="127"/>
      <c r="D26" s="35"/>
      <c r="E26" s="42"/>
      <c r="F26" s="6">
        <v>15</v>
      </c>
      <c r="G26" s="5"/>
      <c r="H26" s="4" t="s">
        <v>13</v>
      </c>
      <c r="I26" s="146"/>
      <c r="J26" s="72"/>
    </row>
    <row r="27" spans="1:10" ht="13.5" customHeight="1">
      <c r="A27" s="132"/>
      <c r="B27" s="151">
        <v>2016</v>
      </c>
      <c r="C27" s="142">
        <f>SUM(F27:F33)</f>
        <v>25.080290000000005</v>
      </c>
      <c r="D27" s="31"/>
      <c r="E27" s="42"/>
      <c r="F27" s="6">
        <v>0</v>
      </c>
      <c r="G27" s="5"/>
      <c r="H27" s="4" t="s">
        <v>9</v>
      </c>
      <c r="I27" s="146"/>
      <c r="J27" s="72"/>
    </row>
    <row r="28" spans="1:10" ht="18.75" customHeight="1">
      <c r="A28" s="132"/>
      <c r="B28" s="152"/>
      <c r="C28" s="143"/>
      <c r="D28" s="34"/>
      <c r="E28" s="42"/>
      <c r="F28" s="6">
        <v>0</v>
      </c>
      <c r="G28" s="5"/>
      <c r="H28" s="4" t="s">
        <v>10</v>
      </c>
      <c r="I28" s="146"/>
      <c r="J28" s="72"/>
    </row>
    <row r="29" spans="1:10" ht="17.25" customHeight="1">
      <c r="A29" s="132"/>
      <c r="B29" s="152"/>
      <c r="C29" s="143"/>
      <c r="D29" s="34"/>
      <c r="E29" s="42"/>
      <c r="F29" s="22">
        <f>10+21.2+30-48.44175</f>
        <v>12.758250000000004</v>
      </c>
      <c r="G29" s="5"/>
      <c r="H29" s="4" t="s">
        <v>14</v>
      </c>
      <c r="I29" s="146"/>
      <c r="J29" s="72"/>
    </row>
    <row r="30" spans="1:10" ht="15" customHeight="1">
      <c r="A30" s="132"/>
      <c r="B30" s="152"/>
      <c r="C30" s="143"/>
      <c r="D30" s="34"/>
      <c r="E30" s="42"/>
      <c r="F30" s="22">
        <f>15-1.41296-2-5-2.3-0.2+30-30</f>
        <v>4.087040000000002</v>
      </c>
      <c r="G30" s="5"/>
      <c r="H30" s="4" t="s">
        <v>11</v>
      </c>
      <c r="I30" s="146"/>
      <c r="J30" s="72"/>
    </row>
    <row r="31" spans="1:10" ht="13.5" customHeight="1">
      <c r="A31" s="132"/>
      <c r="B31" s="152"/>
      <c r="C31" s="143"/>
      <c r="D31" s="34"/>
      <c r="E31" s="42"/>
      <c r="F31" s="6">
        <v>0</v>
      </c>
      <c r="G31" s="5"/>
      <c r="H31" s="4" t="s">
        <v>12</v>
      </c>
      <c r="I31" s="146"/>
      <c r="J31" s="72"/>
    </row>
    <row r="32" spans="1:10" ht="12.75" customHeight="1">
      <c r="A32" s="132"/>
      <c r="B32" s="152"/>
      <c r="C32" s="143"/>
      <c r="D32" s="34"/>
      <c r="E32" s="42"/>
      <c r="F32" s="6">
        <f>5-3.765</f>
        <v>1.2349999999999999</v>
      </c>
      <c r="G32" s="5"/>
      <c r="H32" s="4" t="s">
        <v>18</v>
      </c>
      <c r="I32" s="146"/>
      <c r="J32" s="72"/>
    </row>
    <row r="33" spans="1:10" ht="18.75" customHeight="1">
      <c r="A33" s="133"/>
      <c r="B33" s="153"/>
      <c r="C33" s="144"/>
      <c r="D33" s="35"/>
      <c r="E33" s="42"/>
      <c r="F33" s="6">
        <f>15-8</f>
        <v>7</v>
      </c>
      <c r="G33" s="5"/>
      <c r="H33" s="4" t="s">
        <v>13</v>
      </c>
      <c r="I33" s="147"/>
      <c r="J33" s="72"/>
    </row>
    <row r="34" spans="1:10" ht="14.25" customHeight="1">
      <c r="A34" s="131" t="s">
        <v>31</v>
      </c>
      <c r="B34" s="151">
        <v>2014</v>
      </c>
      <c r="C34" s="148">
        <f>F34+F35+F36+F37+F38+F39+F40</f>
        <v>57.48</v>
      </c>
      <c r="D34" s="31"/>
      <c r="E34" s="38"/>
      <c r="F34" s="19">
        <v>8.4</v>
      </c>
      <c r="G34" s="21"/>
      <c r="H34" s="4" t="s">
        <v>9</v>
      </c>
      <c r="I34" s="173" t="s">
        <v>36</v>
      </c>
      <c r="J34" s="72"/>
    </row>
    <row r="35" spans="1:10" ht="14.25" customHeight="1">
      <c r="A35" s="132"/>
      <c r="B35" s="152"/>
      <c r="C35" s="149"/>
      <c r="D35" s="34"/>
      <c r="E35" s="38"/>
      <c r="F35" s="6">
        <v>8.4</v>
      </c>
      <c r="G35" s="21"/>
      <c r="H35" s="4" t="s">
        <v>10</v>
      </c>
      <c r="I35" s="174"/>
      <c r="J35" s="72"/>
    </row>
    <row r="36" spans="1:10" ht="14.25" customHeight="1">
      <c r="A36" s="132"/>
      <c r="B36" s="152"/>
      <c r="C36" s="149"/>
      <c r="D36" s="34"/>
      <c r="E36" s="38"/>
      <c r="F36" s="6">
        <v>8.4</v>
      </c>
      <c r="G36" s="14"/>
      <c r="H36" s="4" t="s">
        <v>14</v>
      </c>
      <c r="I36" s="174"/>
      <c r="J36" s="72"/>
    </row>
    <row r="37" spans="1:10" ht="14.25" customHeight="1">
      <c r="A37" s="132"/>
      <c r="B37" s="152"/>
      <c r="C37" s="149"/>
      <c r="D37" s="34"/>
      <c r="E37" s="38"/>
      <c r="F37" s="6">
        <v>8.4</v>
      </c>
      <c r="G37" s="22"/>
      <c r="H37" s="4" t="s">
        <v>11</v>
      </c>
      <c r="I37" s="174"/>
      <c r="J37" s="72"/>
    </row>
    <row r="38" spans="1:10" ht="14.25" customHeight="1">
      <c r="A38" s="132"/>
      <c r="B38" s="152"/>
      <c r="C38" s="149"/>
      <c r="D38" s="34"/>
      <c r="E38" s="38"/>
      <c r="F38" s="6">
        <v>8.4</v>
      </c>
      <c r="G38" s="21"/>
      <c r="H38" s="4" t="s">
        <v>12</v>
      </c>
      <c r="I38" s="174"/>
      <c r="J38" s="72"/>
    </row>
    <row r="39" spans="1:10" ht="14.25" customHeight="1">
      <c r="A39" s="132"/>
      <c r="B39" s="152"/>
      <c r="C39" s="149"/>
      <c r="D39" s="34"/>
      <c r="E39" s="38"/>
      <c r="F39" s="6">
        <v>8.4</v>
      </c>
      <c r="G39" s="21"/>
      <c r="H39" s="4" t="s">
        <v>15</v>
      </c>
      <c r="I39" s="174"/>
      <c r="J39" s="72"/>
    </row>
    <row r="40" spans="1:10" ht="14.25" customHeight="1">
      <c r="A40" s="132"/>
      <c r="B40" s="153"/>
      <c r="C40" s="150"/>
      <c r="D40" s="35"/>
      <c r="E40" s="38"/>
      <c r="F40" s="6">
        <f>7.67-0.59</f>
        <v>7.08</v>
      </c>
      <c r="G40" s="14"/>
      <c r="H40" s="4" t="s">
        <v>13</v>
      </c>
      <c r="I40" s="174"/>
      <c r="J40" s="72"/>
    </row>
    <row r="41" spans="1:10" ht="14.25" customHeight="1">
      <c r="A41" s="132"/>
      <c r="B41" s="151">
        <v>2015</v>
      </c>
      <c r="C41" s="159">
        <f>SUM(F41:F47)</f>
        <v>53.519999999999996</v>
      </c>
      <c r="D41" s="31"/>
      <c r="E41" s="38"/>
      <c r="F41" s="19">
        <v>7.08</v>
      </c>
      <c r="G41" s="14"/>
      <c r="H41" s="4" t="s">
        <v>9</v>
      </c>
      <c r="I41" s="174"/>
      <c r="J41" s="72"/>
    </row>
    <row r="42" spans="1:10" ht="14.25" customHeight="1">
      <c r="A42" s="132"/>
      <c r="B42" s="152"/>
      <c r="C42" s="160"/>
      <c r="D42" s="34"/>
      <c r="E42" s="38"/>
      <c r="F42" s="6">
        <v>7.08</v>
      </c>
      <c r="G42" s="14"/>
      <c r="H42" s="4" t="s">
        <v>10</v>
      </c>
      <c r="I42" s="174"/>
      <c r="J42" s="72"/>
    </row>
    <row r="43" spans="1:10" ht="14.25" customHeight="1">
      <c r="A43" s="132"/>
      <c r="B43" s="152"/>
      <c r="C43" s="160"/>
      <c r="D43" s="34"/>
      <c r="E43" s="38"/>
      <c r="F43" s="6">
        <v>8.4</v>
      </c>
      <c r="G43" s="14"/>
      <c r="H43" s="4" t="s">
        <v>14</v>
      </c>
      <c r="I43" s="174"/>
      <c r="J43" s="72"/>
    </row>
    <row r="44" spans="1:10" ht="14.25" customHeight="1">
      <c r="A44" s="132"/>
      <c r="B44" s="152"/>
      <c r="C44" s="160"/>
      <c r="D44" s="34"/>
      <c r="E44" s="38"/>
      <c r="F44" s="6">
        <v>8.4</v>
      </c>
      <c r="G44" s="14"/>
      <c r="H44" s="4" t="s">
        <v>11</v>
      </c>
      <c r="I44" s="174"/>
      <c r="J44" s="72">
        <v>221</v>
      </c>
    </row>
    <row r="45" spans="1:10" ht="14.25" customHeight="1">
      <c r="A45" s="132"/>
      <c r="B45" s="152"/>
      <c r="C45" s="160"/>
      <c r="D45" s="34"/>
      <c r="E45" s="38"/>
      <c r="F45" s="6">
        <f>7.08</f>
        <v>7.08</v>
      </c>
      <c r="G45" s="14"/>
      <c r="H45" s="4" t="s">
        <v>12</v>
      </c>
      <c r="I45" s="174"/>
      <c r="J45" s="72"/>
    </row>
    <row r="46" spans="1:10" ht="14.25" customHeight="1">
      <c r="A46" s="132"/>
      <c r="B46" s="152"/>
      <c r="C46" s="160"/>
      <c r="D46" s="34"/>
      <c r="E46" s="38"/>
      <c r="F46" s="6">
        <v>7.08</v>
      </c>
      <c r="G46" s="14"/>
      <c r="H46" s="4" t="s">
        <v>15</v>
      </c>
      <c r="I46" s="174"/>
      <c r="J46" s="72"/>
    </row>
    <row r="47" spans="1:10" ht="14.25" customHeight="1">
      <c r="A47" s="132"/>
      <c r="B47" s="153"/>
      <c r="C47" s="161"/>
      <c r="D47" s="35"/>
      <c r="E47" s="38"/>
      <c r="F47" s="6">
        <v>8.4</v>
      </c>
      <c r="G47" s="14"/>
      <c r="H47" s="4" t="s">
        <v>13</v>
      </c>
      <c r="I47" s="174"/>
      <c r="J47" s="72"/>
    </row>
    <row r="48" spans="1:10" ht="14.25" customHeight="1">
      <c r="A48" s="132"/>
      <c r="B48" s="151">
        <v>2016</v>
      </c>
      <c r="C48" s="148">
        <f>SUM(F48:F54)</f>
        <v>53.519999999999996</v>
      </c>
      <c r="D48" s="31"/>
      <c r="E48" s="38"/>
      <c r="F48" s="19">
        <v>8.4</v>
      </c>
      <c r="G48" s="14"/>
      <c r="H48" s="4" t="s">
        <v>9</v>
      </c>
      <c r="I48" s="174"/>
      <c r="J48" s="72"/>
    </row>
    <row r="49" spans="1:10" ht="14.25" customHeight="1">
      <c r="A49" s="132"/>
      <c r="B49" s="152"/>
      <c r="C49" s="149"/>
      <c r="D49" s="34"/>
      <c r="E49" s="38"/>
      <c r="F49" s="6">
        <v>8.4</v>
      </c>
      <c r="G49" s="14"/>
      <c r="H49" s="4" t="s">
        <v>10</v>
      </c>
      <c r="I49" s="174"/>
      <c r="J49" s="72"/>
    </row>
    <row r="50" spans="1:10" ht="14.25" customHeight="1">
      <c r="A50" s="132"/>
      <c r="B50" s="152"/>
      <c r="C50" s="149"/>
      <c r="D50" s="34"/>
      <c r="E50" s="38"/>
      <c r="F50" s="6">
        <v>8.4</v>
      </c>
      <c r="G50" s="14"/>
      <c r="H50" s="4" t="s">
        <v>14</v>
      </c>
      <c r="I50" s="174"/>
      <c r="J50" s="72"/>
    </row>
    <row r="51" spans="1:10" ht="14.25" customHeight="1">
      <c r="A51" s="132"/>
      <c r="B51" s="152"/>
      <c r="C51" s="149"/>
      <c r="D51" s="34"/>
      <c r="E51" s="38"/>
      <c r="F51" s="6">
        <v>7.08</v>
      </c>
      <c r="G51" s="14"/>
      <c r="H51" s="4" t="s">
        <v>11</v>
      </c>
      <c r="I51" s="174"/>
      <c r="J51" s="72"/>
    </row>
    <row r="52" spans="1:10" ht="14.25" customHeight="1">
      <c r="A52" s="132"/>
      <c r="B52" s="152"/>
      <c r="C52" s="149"/>
      <c r="D52" s="34"/>
      <c r="E52" s="38"/>
      <c r="F52" s="6">
        <f>8.4-1.32</f>
        <v>7.08</v>
      </c>
      <c r="G52" s="14"/>
      <c r="H52" s="4" t="s">
        <v>12</v>
      </c>
      <c r="I52" s="174"/>
      <c r="J52" s="72"/>
    </row>
    <row r="53" spans="1:10" ht="14.25" customHeight="1">
      <c r="A53" s="132"/>
      <c r="B53" s="152"/>
      <c r="C53" s="149"/>
      <c r="D53" s="34"/>
      <c r="E53" s="38"/>
      <c r="F53" s="6">
        <v>7.08</v>
      </c>
      <c r="G53" s="14"/>
      <c r="H53" s="4" t="s">
        <v>15</v>
      </c>
      <c r="I53" s="174"/>
      <c r="J53" s="72"/>
    </row>
    <row r="54" spans="1:10" ht="14.25" customHeight="1">
      <c r="A54" s="133"/>
      <c r="B54" s="153"/>
      <c r="C54" s="150"/>
      <c r="D54" s="35"/>
      <c r="E54" s="38"/>
      <c r="F54" s="6">
        <f>20.4-13.32</f>
        <v>7.079999999999998</v>
      </c>
      <c r="G54" s="14"/>
      <c r="H54" s="4" t="s">
        <v>13</v>
      </c>
      <c r="I54" s="175"/>
      <c r="J54" s="72"/>
    </row>
    <row r="55" spans="1:10" ht="13.5" customHeight="1">
      <c r="A55" s="131" t="s">
        <v>45</v>
      </c>
      <c r="B55" s="151">
        <v>2014</v>
      </c>
      <c r="C55" s="148">
        <f>F55+F56+F57+F58+F59+F60+F61+E55+E56+E57+E58+E59+E60+E61</f>
        <v>24</v>
      </c>
      <c r="D55" s="31"/>
      <c r="E55" s="6">
        <v>7</v>
      </c>
      <c r="F55" s="6">
        <v>0</v>
      </c>
      <c r="G55" s="14"/>
      <c r="H55" s="4" t="s">
        <v>9</v>
      </c>
      <c r="I55" s="145" t="s">
        <v>27</v>
      </c>
      <c r="J55" s="72"/>
    </row>
    <row r="56" spans="1:10" ht="15.75" customHeight="1">
      <c r="A56" s="132"/>
      <c r="B56" s="152"/>
      <c r="C56" s="149"/>
      <c r="D56" s="34"/>
      <c r="E56" s="6">
        <v>0</v>
      </c>
      <c r="F56" s="6">
        <v>0</v>
      </c>
      <c r="G56" s="4"/>
      <c r="H56" s="4" t="s">
        <v>10</v>
      </c>
      <c r="I56" s="146"/>
      <c r="J56" s="72"/>
    </row>
    <row r="57" spans="1:10" ht="15" customHeight="1">
      <c r="A57" s="132"/>
      <c r="B57" s="152"/>
      <c r="C57" s="149"/>
      <c r="D57" s="34"/>
      <c r="E57" s="6">
        <v>0</v>
      </c>
      <c r="F57" s="6">
        <v>0</v>
      </c>
      <c r="G57" s="4"/>
      <c r="H57" s="4" t="s">
        <v>14</v>
      </c>
      <c r="I57" s="146"/>
      <c r="J57" s="72"/>
    </row>
    <row r="58" spans="1:10" ht="15" customHeight="1">
      <c r="A58" s="132"/>
      <c r="B58" s="152"/>
      <c r="C58" s="149"/>
      <c r="D58" s="34"/>
      <c r="E58" s="6">
        <v>7</v>
      </c>
      <c r="F58" s="6">
        <v>0</v>
      </c>
      <c r="G58" s="4"/>
      <c r="H58" s="4" t="s">
        <v>11</v>
      </c>
      <c r="I58" s="146"/>
      <c r="J58" s="72"/>
    </row>
    <row r="59" spans="1:10" ht="15" customHeight="1">
      <c r="A59" s="132"/>
      <c r="B59" s="152"/>
      <c r="C59" s="149"/>
      <c r="D59" s="34"/>
      <c r="E59" s="6">
        <v>0</v>
      </c>
      <c r="F59" s="6">
        <v>10</v>
      </c>
      <c r="G59" s="4"/>
      <c r="H59" s="4" t="s">
        <v>12</v>
      </c>
      <c r="I59" s="146"/>
      <c r="J59" s="72"/>
    </row>
    <row r="60" spans="1:10" ht="15.75" customHeight="1">
      <c r="A60" s="132"/>
      <c r="B60" s="152"/>
      <c r="C60" s="149"/>
      <c r="D60" s="34"/>
      <c r="E60" s="19">
        <v>0</v>
      </c>
      <c r="F60" s="19">
        <v>0</v>
      </c>
      <c r="G60" s="4"/>
      <c r="H60" s="4" t="s">
        <v>18</v>
      </c>
      <c r="I60" s="146"/>
      <c r="J60" s="72"/>
    </row>
    <row r="61" spans="1:10" ht="15.75" customHeight="1">
      <c r="A61" s="132"/>
      <c r="B61" s="153"/>
      <c r="C61" s="150"/>
      <c r="D61" s="35"/>
      <c r="E61" s="19">
        <v>0</v>
      </c>
      <c r="F61" s="19">
        <v>0</v>
      </c>
      <c r="G61" s="4"/>
      <c r="H61" s="4" t="s">
        <v>13</v>
      </c>
      <c r="I61" s="146"/>
      <c r="J61" s="72"/>
    </row>
    <row r="62" spans="1:10" ht="15.75" customHeight="1">
      <c r="A62" s="132"/>
      <c r="B62" s="151">
        <v>2015</v>
      </c>
      <c r="C62" s="159">
        <f>SUM(F62:F68)</f>
        <v>36.753</v>
      </c>
      <c r="D62" s="31"/>
      <c r="E62" s="41"/>
      <c r="F62" s="6">
        <f>7+15.573</f>
        <v>22.573</v>
      </c>
      <c r="G62" s="4"/>
      <c r="H62" s="4" t="s">
        <v>9</v>
      </c>
      <c r="I62" s="146"/>
      <c r="J62" s="72">
        <v>340</v>
      </c>
    </row>
    <row r="63" spans="1:10" ht="15.75" customHeight="1">
      <c r="A63" s="132"/>
      <c r="B63" s="152"/>
      <c r="C63" s="160"/>
      <c r="D63" s="34"/>
      <c r="E63" s="41"/>
      <c r="F63" s="6">
        <v>0</v>
      </c>
      <c r="G63" s="4"/>
      <c r="H63" s="4" t="s">
        <v>10</v>
      </c>
      <c r="I63" s="146"/>
      <c r="J63" s="72"/>
    </row>
    <row r="64" spans="1:10" ht="15.75" customHeight="1">
      <c r="A64" s="132"/>
      <c r="B64" s="152"/>
      <c r="C64" s="160"/>
      <c r="D64" s="34"/>
      <c r="E64" s="41"/>
      <c r="F64" s="75">
        <f>5-5</f>
        <v>0</v>
      </c>
      <c r="G64" s="4"/>
      <c r="H64" s="4" t="s">
        <v>14</v>
      </c>
      <c r="I64" s="146"/>
      <c r="J64" s="72"/>
    </row>
    <row r="65" spans="1:10" ht="15.75" customHeight="1">
      <c r="A65" s="132"/>
      <c r="B65" s="152"/>
      <c r="C65" s="160"/>
      <c r="D65" s="34"/>
      <c r="E65" s="41"/>
      <c r="F65" s="6">
        <v>7</v>
      </c>
      <c r="G65" s="4"/>
      <c r="H65" s="4" t="s">
        <v>11</v>
      </c>
      <c r="I65" s="146"/>
      <c r="J65" s="72"/>
    </row>
    <row r="66" spans="1:10" ht="15.75" customHeight="1">
      <c r="A66" s="132"/>
      <c r="B66" s="152"/>
      <c r="C66" s="160"/>
      <c r="D66" s="34"/>
      <c r="E66" s="41"/>
      <c r="F66" s="6">
        <v>7.18</v>
      </c>
      <c r="G66" s="4"/>
      <c r="H66" s="4" t="s">
        <v>12</v>
      </c>
      <c r="I66" s="146"/>
      <c r="J66" s="72"/>
    </row>
    <row r="67" spans="1:10" ht="15.75" customHeight="1">
      <c r="A67" s="132"/>
      <c r="B67" s="152"/>
      <c r="C67" s="160"/>
      <c r="D67" s="34"/>
      <c r="E67" s="41"/>
      <c r="F67" s="19">
        <v>0</v>
      </c>
      <c r="G67" s="4"/>
      <c r="H67" s="4" t="s">
        <v>18</v>
      </c>
      <c r="I67" s="146"/>
      <c r="J67" s="72"/>
    </row>
    <row r="68" spans="1:10" ht="15.75" customHeight="1">
      <c r="A68" s="132"/>
      <c r="B68" s="153"/>
      <c r="C68" s="161"/>
      <c r="D68" s="35"/>
      <c r="E68" s="41"/>
      <c r="F68" s="19">
        <v>0</v>
      </c>
      <c r="G68" s="4"/>
      <c r="H68" s="4" t="s">
        <v>13</v>
      </c>
      <c r="I68" s="146"/>
      <c r="J68" s="72"/>
    </row>
    <row r="69" spans="1:10" ht="15.75" customHeight="1">
      <c r="A69" s="132"/>
      <c r="B69" s="151">
        <v>2016</v>
      </c>
      <c r="C69" s="148">
        <f>SUM(F69:F75)</f>
        <v>31.63424</v>
      </c>
      <c r="D69" s="31"/>
      <c r="E69" s="41"/>
      <c r="F69" s="6">
        <v>7</v>
      </c>
      <c r="G69" s="4"/>
      <c r="H69" s="4" t="s">
        <v>9</v>
      </c>
      <c r="I69" s="146"/>
      <c r="J69" s="72"/>
    </row>
    <row r="70" spans="1:10" ht="15.75" customHeight="1">
      <c r="A70" s="132"/>
      <c r="B70" s="152"/>
      <c r="C70" s="149"/>
      <c r="D70" s="34"/>
      <c r="E70" s="41"/>
      <c r="F70" s="6">
        <v>6</v>
      </c>
      <c r="G70" s="4"/>
      <c r="H70" s="4" t="s">
        <v>10</v>
      </c>
      <c r="I70" s="146"/>
      <c r="J70" s="72"/>
    </row>
    <row r="71" spans="1:10" ht="15.75" customHeight="1">
      <c r="A71" s="132"/>
      <c r="B71" s="152"/>
      <c r="C71" s="149"/>
      <c r="D71" s="34"/>
      <c r="E71" s="41"/>
      <c r="F71" s="6">
        <v>5</v>
      </c>
      <c r="G71" s="4"/>
      <c r="H71" s="4" t="s">
        <v>14</v>
      </c>
      <c r="I71" s="146"/>
      <c r="J71" s="72"/>
    </row>
    <row r="72" spans="1:10" ht="15.75" customHeight="1">
      <c r="A72" s="132"/>
      <c r="B72" s="152"/>
      <c r="C72" s="149"/>
      <c r="D72" s="34"/>
      <c r="E72" s="41"/>
      <c r="F72" s="22">
        <f>7-3.36576</f>
        <v>3.63424</v>
      </c>
      <c r="G72" s="4"/>
      <c r="H72" s="4" t="s">
        <v>11</v>
      </c>
      <c r="I72" s="146"/>
      <c r="J72" s="72"/>
    </row>
    <row r="73" spans="1:10" ht="15.75" customHeight="1">
      <c r="A73" s="132"/>
      <c r="B73" s="152"/>
      <c r="C73" s="149"/>
      <c r="D73" s="34"/>
      <c r="E73" s="41"/>
      <c r="F73" s="6">
        <v>0</v>
      </c>
      <c r="G73" s="4"/>
      <c r="H73" s="4" t="s">
        <v>12</v>
      </c>
      <c r="I73" s="146"/>
      <c r="J73" s="72"/>
    </row>
    <row r="74" spans="1:10" ht="15.75" customHeight="1">
      <c r="A74" s="132"/>
      <c r="B74" s="152"/>
      <c r="C74" s="149"/>
      <c r="D74" s="34"/>
      <c r="E74" s="41"/>
      <c r="F74" s="19">
        <v>5</v>
      </c>
      <c r="G74" s="4"/>
      <c r="H74" s="4" t="s">
        <v>18</v>
      </c>
      <c r="I74" s="146"/>
      <c r="J74" s="72"/>
    </row>
    <row r="75" spans="1:10" ht="15.75" customHeight="1">
      <c r="A75" s="133"/>
      <c r="B75" s="153"/>
      <c r="C75" s="150"/>
      <c r="D75" s="35"/>
      <c r="E75" s="41"/>
      <c r="F75" s="19">
        <v>5</v>
      </c>
      <c r="G75" s="4"/>
      <c r="H75" s="4" t="s">
        <v>13</v>
      </c>
      <c r="I75" s="147"/>
      <c r="J75" s="72"/>
    </row>
    <row r="76" spans="1:10" ht="15.75" customHeight="1">
      <c r="A76" s="131" t="s">
        <v>35</v>
      </c>
      <c r="B76" s="151">
        <v>2014</v>
      </c>
      <c r="C76" s="148">
        <f>F76+F77+F78+F79+F80+F81+F82</f>
        <v>0</v>
      </c>
      <c r="D76" s="31"/>
      <c r="E76" s="42"/>
      <c r="F76" s="6">
        <v>0</v>
      </c>
      <c r="G76" s="5"/>
      <c r="H76" s="4" t="s">
        <v>9</v>
      </c>
      <c r="I76" s="145" t="s">
        <v>32</v>
      </c>
      <c r="J76" s="72"/>
    </row>
    <row r="77" spans="1:10" ht="15.75" customHeight="1">
      <c r="A77" s="132"/>
      <c r="B77" s="152"/>
      <c r="C77" s="149"/>
      <c r="D77" s="34"/>
      <c r="E77" s="42"/>
      <c r="F77" s="6">
        <v>0</v>
      </c>
      <c r="G77" s="5"/>
      <c r="H77" s="4" t="s">
        <v>10</v>
      </c>
      <c r="I77" s="146"/>
      <c r="J77" s="72"/>
    </row>
    <row r="78" spans="1:10" ht="15.75" customHeight="1">
      <c r="A78" s="132"/>
      <c r="B78" s="152"/>
      <c r="C78" s="149"/>
      <c r="D78" s="34"/>
      <c r="E78" s="42"/>
      <c r="F78" s="19">
        <v>0</v>
      </c>
      <c r="G78" s="5"/>
      <c r="H78" s="4" t="s">
        <v>14</v>
      </c>
      <c r="I78" s="146"/>
      <c r="J78" s="72"/>
    </row>
    <row r="79" spans="1:10" ht="13.5" customHeight="1">
      <c r="A79" s="132"/>
      <c r="B79" s="152"/>
      <c r="C79" s="149"/>
      <c r="D79" s="34"/>
      <c r="E79" s="42"/>
      <c r="F79" s="19">
        <v>0</v>
      </c>
      <c r="G79" s="5"/>
      <c r="H79" s="4" t="s">
        <v>11</v>
      </c>
      <c r="I79" s="146"/>
      <c r="J79" s="72"/>
    </row>
    <row r="80" spans="1:10" ht="13.5" customHeight="1">
      <c r="A80" s="132"/>
      <c r="B80" s="152"/>
      <c r="C80" s="149"/>
      <c r="D80" s="34"/>
      <c r="E80" s="42"/>
      <c r="F80" s="19">
        <v>0</v>
      </c>
      <c r="G80" s="5"/>
      <c r="H80" s="4" t="s">
        <v>12</v>
      </c>
      <c r="I80" s="146"/>
      <c r="J80" s="72">
        <v>340</v>
      </c>
    </row>
    <row r="81" spans="1:10" ht="15" customHeight="1">
      <c r="A81" s="132"/>
      <c r="B81" s="152"/>
      <c r="C81" s="149"/>
      <c r="D81" s="34"/>
      <c r="E81" s="42"/>
      <c r="F81" s="19">
        <v>0</v>
      </c>
      <c r="G81" s="5"/>
      <c r="H81" s="4" t="s">
        <v>15</v>
      </c>
      <c r="I81" s="146"/>
      <c r="J81" s="72"/>
    </row>
    <row r="82" spans="1:10" ht="15.75" customHeight="1">
      <c r="A82" s="132"/>
      <c r="B82" s="153"/>
      <c r="C82" s="150"/>
      <c r="D82" s="35"/>
      <c r="E82" s="42"/>
      <c r="F82" s="19">
        <v>0</v>
      </c>
      <c r="G82" s="12"/>
      <c r="H82" s="4" t="s">
        <v>13</v>
      </c>
      <c r="I82" s="146"/>
      <c r="J82" s="72"/>
    </row>
    <row r="83" spans="1:10" ht="15.75" customHeight="1">
      <c r="A83" s="132"/>
      <c r="B83" s="151">
        <v>2015</v>
      </c>
      <c r="C83" s="148">
        <f>SUM(F83:F89)</f>
        <v>0</v>
      </c>
      <c r="D83" s="31"/>
      <c r="E83" s="42"/>
      <c r="F83" s="6">
        <v>0</v>
      </c>
      <c r="G83" s="12"/>
      <c r="H83" s="4" t="s">
        <v>9</v>
      </c>
      <c r="I83" s="146"/>
      <c r="J83" s="72"/>
    </row>
    <row r="84" spans="1:10" ht="15.75" customHeight="1">
      <c r="A84" s="132"/>
      <c r="B84" s="152"/>
      <c r="C84" s="149"/>
      <c r="D84" s="34"/>
      <c r="E84" s="42"/>
      <c r="F84" s="6">
        <v>0</v>
      </c>
      <c r="G84" s="12"/>
      <c r="H84" s="4" t="s">
        <v>10</v>
      </c>
      <c r="I84" s="146"/>
      <c r="J84" s="72"/>
    </row>
    <row r="85" spans="1:10" ht="15.75" customHeight="1">
      <c r="A85" s="132"/>
      <c r="B85" s="152"/>
      <c r="C85" s="149"/>
      <c r="D85" s="34"/>
      <c r="E85" s="42"/>
      <c r="F85" s="19">
        <v>0</v>
      </c>
      <c r="G85" s="12"/>
      <c r="H85" s="4" t="s">
        <v>14</v>
      </c>
      <c r="I85" s="146"/>
      <c r="J85" s="72"/>
    </row>
    <row r="86" spans="1:10" ht="15.75" customHeight="1">
      <c r="A86" s="132"/>
      <c r="B86" s="152"/>
      <c r="C86" s="149"/>
      <c r="D86" s="34"/>
      <c r="E86" s="42"/>
      <c r="F86" s="19">
        <v>0</v>
      </c>
      <c r="G86" s="12"/>
      <c r="H86" s="4" t="s">
        <v>11</v>
      </c>
      <c r="I86" s="146"/>
      <c r="J86" s="72"/>
    </row>
    <row r="87" spans="1:10" ht="15.75" customHeight="1">
      <c r="A87" s="132"/>
      <c r="B87" s="152"/>
      <c r="C87" s="149"/>
      <c r="D87" s="34"/>
      <c r="E87" s="42"/>
      <c r="F87" s="19">
        <v>0</v>
      </c>
      <c r="G87" s="12"/>
      <c r="H87" s="4" t="s">
        <v>12</v>
      </c>
      <c r="I87" s="146"/>
      <c r="J87" s="72"/>
    </row>
    <row r="88" spans="1:10" ht="15.75" customHeight="1">
      <c r="A88" s="132"/>
      <c r="B88" s="152"/>
      <c r="C88" s="149"/>
      <c r="D88" s="34"/>
      <c r="E88" s="42"/>
      <c r="F88" s="19">
        <v>0</v>
      </c>
      <c r="G88" s="12"/>
      <c r="H88" s="4" t="s">
        <v>15</v>
      </c>
      <c r="I88" s="146"/>
      <c r="J88" s="72"/>
    </row>
    <row r="89" spans="1:10" ht="15.75" customHeight="1">
      <c r="A89" s="132"/>
      <c r="B89" s="153"/>
      <c r="C89" s="150"/>
      <c r="D89" s="35"/>
      <c r="E89" s="42"/>
      <c r="F89" s="19">
        <v>0</v>
      </c>
      <c r="G89" s="12"/>
      <c r="H89" s="4" t="s">
        <v>13</v>
      </c>
      <c r="I89" s="146"/>
      <c r="J89" s="72"/>
    </row>
    <row r="90" spans="1:10" ht="15.75" customHeight="1">
      <c r="A90" s="132"/>
      <c r="B90" s="151">
        <v>2016</v>
      </c>
      <c r="C90" s="148">
        <f>SUM(F90:F96)</f>
        <v>16.5</v>
      </c>
      <c r="D90" s="31"/>
      <c r="E90" s="42"/>
      <c r="F90" s="6">
        <v>0</v>
      </c>
      <c r="G90" s="12"/>
      <c r="H90" s="4" t="s">
        <v>9</v>
      </c>
      <c r="I90" s="146"/>
      <c r="J90" s="72"/>
    </row>
    <row r="91" spans="1:10" ht="15.75" customHeight="1">
      <c r="A91" s="132"/>
      <c r="B91" s="152"/>
      <c r="C91" s="149"/>
      <c r="D91" s="34"/>
      <c r="E91" s="42"/>
      <c r="F91" s="6">
        <v>0</v>
      </c>
      <c r="G91" s="12"/>
      <c r="H91" s="4" t="s">
        <v>10</v>
      </c>
      <c r="I91" s="146"/>
      <c r="J91" s="72"/>
    </row>
    <row r="92" spans="1:10" ht="15.75" customHeight="1">
      <c r="A92" s="132"/>
      <c r="B92" s="152"/>
      <c r="C92" s="149"/>
      <c r="D92" s="34"/>
      <c r="E92" s="42"/>
      <c r="F92" s="19">
        <v>0</v>
      </c>
      <c r="G92" s="12"/>
      <c r="H92" s="4" t="s">
        <v>14</v>
      </c>
      <c r="I92" s="146"/>
      <c r="J92" s="72"/>
    </row>
    <row r="93" spans="1:10" ht="15.75" customHeight="1">
      <c r="A93" s="132"/>
      <c r="B93" s="152"/>
      <c r="C93" s="149"/>
      <c r="D93" s="34"/>
      <c r="E93" s="42"/>
      <c r="F93" s="19">
        <v>0</v>
      </c>
      <c r="G93" s="12"/>
      <c r="H93" s="4" t="s">
        <v>11</v>
      </c>
      <c r="I93" s="146"/>
      <c r="J93" s="72"/>
    </row>
    <row r="94" spans="1:10" ht="15.75" customHeight="1">
      <c r="A94" s="132"/>
      <c r="B94" s="152"/>
      <c r="C94" s="149"/>
      <c r="D94" s="34"/>
      <c r="E94" s="42"/>
      <c r="F94" s="19">
        <v>0</v>
      </c>
      <c r="G94" s="12"/>
      <c r="H94" s="4" t="s">
        <v>12</v>
      </c>
      <c r="I94" s="146"/>
      <c r="J94" s="72"/>
    </row>
    <row r="95" spans="1:10" ht="15.75" customHeight="1">
      <c r="A95" s="132"/>
      <c r="B95" s="152"/>
      <c r="C95" s="149"/>
      <c r="D95" s="34"/>
      <c r="E95" s="42"/>
      <c r="F95" s="19">
        <v>16.5</v>
      </c>
      <c r="G95" s="12"/>
      <c r="H95" s="4" t="s">
        <v>15</v>
      </c>
      <c r="I95" s="146"/>
      <c r="J95" s="72"/>
    </row>
    <row r="96" spans="1:10" ht="15.75" customHeight="1">
      <c r="A96" s="133"/>
      <c r="B96" s="153"/>
      <c r="C96" s="150"/>
      <c r="D96" s="35"/>
      <c r="E96" s="42"/>
      <c r="F96" s="19">
        <v>0</v>
      </c>
      <c r="G96" s="12"/>
      <c r="H96" s="4" t="s">
        <v>13</v>
      </c>
      <c r="I96" s="147"/>
      <c r="J96" s="72"/>
    </row>
    <row r="97" spans="1:10" ht="15.75" customHeight="1">
      <c r="A97" s="131" t="s">
        <v>46</v>
      </c>
      <c r="B97" s="151">
        <v>2014</v>
      </c>
      <c r="C97" s="148">
        <f>F97+F98+F99+F100+F101+F102+E97+E98+E99+E100+E101+E102</f>
        <v>111</v>
      </c>
      <c r="D97" s="31"/>
      <c r="E97" s="42"/>
      <c r="F97" s="19">
        <v>15</v>
      </c>
      <c r="G97" s="12"/>
      <c r="H97" s="4" t="s">
        <v>10</v>
      </c>
      <c r="I97" s="145" t="s">
        <v>26</v>
      </c>
      <c r="J97" s="72"/>
    </row>
    <row r="98" spans="1:10" ht="16.5" customHeight="1">
      <c r="A98" s="132"/>
      <c r="B98" s="152"/>
      <c r="C98" s="149"/>
      <c r="D98" s="34"/>
      <c r="E98" s="42"/>
      <c r="F98" s="19">
        <v>15</v>
      </c>
      <c r="G98" s="5"/>
      <c r="H98" s="4" t="s">
        <v>14</v>
      </c>
      <c r="I98" s="146"/>
      <c r="J98" s="72"/>
    </row>
    <row r="99" spans="1:10" ht="15" customHeight="1">
      <c r="A99" s="132"/>
      <c r="B99" s="152"/>
      <c r="C99" s="149"/>
      <c r="D99" s="34"/>
      <c r="E99" s="6">
        <v>15</v>
      </c>
      <c r="F99" s="19">
        <v>0</v>
      </c>
      <c r="G99" s="5"/>
      <c r="H99" s="4" t="s">
        <v>11</v>
      </c>
      <c r="I99" s="146"/>
      <c r="J99" s="72"/>
    </row>
    <row r="100" spans="1:10" ht="15" customHeight="1">
      <c r="A100" s="132"/>
      <c r="B100" s="152"/>
      <c r="C100" s="149"/>
      <c r="D100" s="34"/>
      <c r="E100" s="6">
        <f>45-20</f>
        <v>25</v>
      </c>
      <c r="F100" s="19">
        <v>0</v>
      </c>
      <c r="G100" s="5"/>
      <c r="H100" s="4" t="s">
        <v>12</v>
      </c>
      <c r="I100" s="146"/>
      <c r="J100" s="72"/>
    </row>
    <row r="101" spans="1:10" ht="15" customHeight="1">
      <c r="A101" s="132"/>
      <c r="B101" s="152"/>
      <c r="C101" s="149"/>
      <c r="D101" s="34"/>
      <c r="E101" s="42"/>
      <c r="F101" s="19">
        <v>18</v>
      </c>
      <c r="G101" s="5"/>
      <c r="H101" s="4" t="s">
        <v>15</v>
      </c>
      <c r="I101" s="146"/>
      <c r="J101" s="72"/>
    </row>
    <row r="102" spans="1:10" ht="15" customHeight="1">
      <c r="A102" s="132"/>
      <c r="B102" s="153"/>
      <c r="C102" s="150"/>
      <c r="D102" s="35"/>
      <c r="E102" s="42"/>
      <c r="F102" s="19">
        <f>15+8</f>
        <v>23</v>
      </c>
      <c r="G102" s="5"/>
      <c r="H102" s="4" t="s">
        <v>13</v>
      </c>
      <c r="I102" s="146"/>
      <c r="J102" s="72"/>
    </row>
    <row r="103" spans="1:10" ht="15" customHeight="1">
      <c r="A103" s="132"/>
      <c r="B103" s="151">
        <v>2015</v>
      </c>
      <c r="C103" s="142">
        <f>SUM(F103:F108)</f>
        <v>82.786</v>
      </c>
      <c r="D103" s="31"/>
      <c r="E103" s="42"/>
      <c r="F103" s="19">
        <v>15</v>
      </c>
      <c r="G103" s="5"/>
      <c r="H103" s="4" t="s">
        <v>10</v>
      </c>
      <c r="I103" s="146"/>
      <c r="J103" s="72">
        <v>225</v>
      </c>
    </row>
    <row r="104" spans="1:10" ht="15" customHeight="1">
      <c r="A104" s="132"/>
      <c r="B104" s="152"/>
      <c r="C104" s="143"/>
      <c r="D104" s="34"/>
      <c r="E104" s="42"/>
      <c r="F104" s="76">
        <f>15-0.214</f>
        <v>14.786</v>
      </c>
      <c r="G104" s="5"/>
      <c r="H104" s="4" t="s">
        <v>14</v>
      </c>
      <c r="I104" s="146"/>
      <c r="J104" s="72"/>
    </row>
    <row r="105" spans="1:10" ht="15" customHeight="1">
      <c r="A105" s="132"/>
      <c r="B105" s="152"/>
      <c r="C105" s="143"/>
      <c r="D105" s="34"/>
      <c r="E105" s="42"/>
      <c r="F105" s="19">
        <v>10</v>
      </c>
      <c r="G105" s="5"/>
      <c r="H105" s="4" t="s">
        <v>11</v>
      </c>
      <c r="I105" s="146"/>
      <c r="J105" s="72"/>
    </row>
    <row r="106" spans="1:10" ht="15" customHeight="1">
      <c r="A106" s="132"/>
      <c r="B106" s="152"/>
      <c r="C106" s="143"/>
      <c r="D106" s="34"/>
      <c r="E106" s="42"/>
      <c r="F106" s="19">
        <v>25</v>
      </c>
      <c r="G106" s="5"/>
      <c r="H106" s="4" t="s">
        <v>12</v>
      </c>
      <c r="I106" s="146"/>
      <c r="J106" s="72"/>
    </row>
    <row r="107" spans="1:10" ht="15" customHeight="1">
      <c r="A107" s="132"/>
      <c r="B107" s="152"/>
      <c r="C107" s="143"/>
      <c r="D107" s="34"/>
      <c r="E107" s="42"/>
      <c r="F107" s="19">
        <v>18</v>
      </c>
      <c r="G107" s="5"/>
      <c r="H107" s="4" t="s">
        <v>15</v>
      </c>
      <c r="I107" s="146"/>
      <c r="J107" s="72"/>
    </row>
    <row r="108" spans="1:10" ht="15" customHeight="1">
      <c r="A108" s="132"/>
      <c r="B108" s="153"/>
      <c r="C108" s="144"/>
      <c r="D108" s="35"/>
      <c r="E108" s="42"/>
      <c r="F108" s="19">
        <v>0</v>
      </c>
      <c r="G108" s="5"/>
      <c r="H108" s="4" t="s">
        <v>13</v>
      </c>
      <c r="I108" s="146"/>
      <c r="J108" s="72"/>
    </row>
    <row r="109" spans="1:10" ht="15" customHeight="1">
      <c r="A109" s="132"/>
      <c r="B109" s="151">
        <v>2016</v>
      </c>
      <c r="C109" s="142">
        <f>SUM(F109:F114)</f>
        <v>95.56419999999999</v>
      </c>
      <c r="D109" s="31"/>
      <c r="E109" s="42"/>
      <c r="F109" s="19">
        <v>15</v>
      </c>
      <c r="G109" s="5"/>
      <c r="H109" s="4" t="s">
        <v>10</v>
      </c>
      <c r="I109" s="146"/>
      <c r="J109" s="72"/>
    </row>
    <row r="110" spans="1:10" ht="15" customHeight="1">
      <c r="A110" s="132"/>
      <c r="B110" s="152"/>
      <c r="C110" s="143"/>
      <c r="D110" s="34"/>
      <c r="E110" s="42"/>
      <c r="F110" s="19">
        <v>15</v>
      </c>
      <c r="G110" s="5"/>
      <c r="H110" s="4" t="s">
        <v>14</v>
      </c>
      <c r="I110" s="146"/>
      <c r="J110" s="72"/>
    </row>
    <row r="111" spans="1:10" ht="15" customHeight="1">
      <c r="A111" s="132"/>
      <c r="B111" s="152"/>
      <c r="C111" s="143"/>
      <c r="D111" s="34"/>
      <c r="E111" s="42"/>
      <c r="F111" s="19">
        <f>15-5</f>
        <v>10</v>
      </c>
      <c r="G111" s="5"/>
      <c r="H111" s="4" t="s">
        <v>11</v>
      </c>
      <c r="I111" s="146"/>
      <c r="J111" s="72"/>
    </row>
    <row r="112" spans="1:10" ht="15" customHeight="1">
      <c r="A112" s="132"/>
      <c r="B112" s="152"/>
      <c r="C112" s="143"/>
      <c r="D112" s="34"/>
      <c r="E112" s="42"/>
      <c r="F112" s="111">
        <f>45-16.23552</f>
        <v>28.76448</v>
      </c>
      <c r="G112" s="5"/>
      <c r="H112" s="4" t="s">
        <v>12</v>
      </c>
      <c r="I112" s="146"/>
      <c r="J112" s="72"/>
    </row>
    <row r="113" spans="1:10" ht="15" customHeight="1">
      <c r="A113" s="132"/>
      <c r="B113" s="152"/>
      <c r="C113" s="143"/>
      <c r="D113" s="34"/>
      <c r="E113" s="42"/>
      <c r="F113" s="19">
        <f>18-2.00028</f>
        <v>15.99972</v>
      </c>
      <c r="G113" s="5"/>
      <c r="H113" s="4" t="s">
        <v>15</v>
      </c>
      <c r="I113" s="146"/>
      <c r="J113" s="72"/>
    </row>
    <row r="114" spans="1:10" ht="15" customHeight="1">
      <c r="A114" s="133"/>
      <c r="B114" s="153"/>
      <c r="C114" s="144"/>
      <c r="D114" s="35"/>
      <c r="E114" s="42"/>
      <c r="F114" s="19">
        <f>15-4.2</f>
        <v>10.8</v>
      </c>
      <c r="G114" s="5"/>
      <c r="H114" s="4" t="s">
        <v>13</v>
      </c>
      <c r="I114" s="147"/>
      <c r="J114" s="72"/>
    </row>
    <row r="115" spans="1:10" ht="15" customHeight="1">
      <c r="A115" s="131" t="s">
        <v>47</v>
      </c>
      <c r="B115" s="151">
        <v>2014</v>
      </c>
      <c r="C115" s="148">
        <f>F115+F116+F117+F118+F119+E115+E116+E117+E118+E119</f>
        <v>6.713</v>
      </c>
      <c r="D115" s="31"/>
      <c r="E115" s="6">
        <v>0</v>
      </c>
      <c r="F115" s="6">
        <v>0</v>
      </c>
      <c r="G115" s="5"/>
      <c r="H115" s="4" t="s">
        <v>9</v>
      </c>
      <c r="I115" s="145" t="s">
        <v>28</v>
      </c>
      <c r="J115" s="72"/>
    </row>
    <row r="116" spans="1:10" ht="15" customHeight="1">
      <c r="A116" s="132"/>
      <c r="B116" s="152"/>
      <c r="C116" s="149"/>
      <c r="D116" s="34"/>
      <c r="E116" s="6">
        <v>0</v>
      </c>
      <c r="F116" s="6">
        <v>0</v>
      </c>
      <c r="G116" s="5"/>
      <c r="H116" s="4" t="s">
        <v>10</v>
      </c>
      <c r="I116" s="146"/>
      <c r="J116" s="72"/>
    </row>
    <row r="117" spans="1:10" ht="15" customHeight="1">
      <c r="A117" s="132"/>
      <c r="B117" s="152"/>
      <c r="C117" s="149"/>
      <c r="D117" s="34"/>
      <c r="E117" s="19">
        <v>0</v>
      </c>
      <c r="F117" s="6">
        <v>0</v>
      </c>
      <c r="G117" s="5"/>
      <c r="H117" s="4" t="s">
        <v>14</v>
      </c>
      <c r="I117" s="146"/>
      <c r="J117" s="72"/>
    </row>
    <row r="118" spans="1:10" ht="15" customHeight="1">
      <c r="A118" s="132"/>
      <c r="B118" s="152"/>
      <c r="C118" s="149"/>
      <c r="D118" s="34"/>
      <c r="E118" s="19">
        <v>6.713</v>
      </c>
      <c r="F118" s="6">
        <v>0</v>
      </c>
      <c r="G118" s="5"/>
      <c r="H118" s="4" t="s">
        <v>12</v>
      </c>
      <c r="I118" s="146"/>
      <c r="J118" s="72"/>
    </row>
    <row r="119" spans="1:10" ht="18" customHeight="1">
      <c r="A119" s="132"/>
      <c r="B119" s="153"/>
      <c r="C119" s="150"/>
      <c r="D119" s="35"/>
      <c r="E119" s="19">
        <v>0</v>
      </c>
      <c r="F119" s="6">
        <v>0</v>
      </c>
      <c r="G119" s="5"/>
      <c r="H119" s="4" t="s">
        <v>13</v>
      </c>
      <c r="I119" s="146"/>
      <c r="J119" s="72"/>
    </row>
    <row r="120" spans="1:10" ht="18" customHeight="1">
      <c r="A120" s="132"/>
      <c r="B120" s="151">
        <v>2015</v>
      </c>
      <c r="C120" s="148">
        <f>SUM(F120:F124)</f>
        <v>15</v>
      </c>
      <c r="D120" s="31"/>
      <c r="E120" s="42"/>
      <c r="F120" s="6">
        <v>10</v>
      </c>
      <c r="G120" s="5"/>
      <c r="H120" s="4" t="s">
        <v>9</v>
      </c>
      <c r="I120" s="146"/>
      <c r="J120" s="72"/>
    </row>
    <row r="121" spans="1:10" ht="18" customHeight="1">
      <c r="A121" s="132"/>
      <c r="B121" s="152"/>
      <c r="C121" s="149"/>
      <c r="D121" s="34"/>
      <c r="E121" s="42"/>
      <c r="F121" s="6">
        <v>0</v>
      </c>
      <c r="G121" s="5"/>
      <c r="H121" s="4" t="s">
        <v>10</v>
      </c>
      <c r="I121" s="146"/>
      <c r="J121" s="72">
        <v>225</v>
      </c>
    </row>
    <row r="122" spans="1:10" ht="18" customHeight="1">
      <c r="A122" s="132"/>
      <c r="B122" s="152"/>
      <c r="C122" s="149"/>
      <c r="D122" s="34"/>
      <c r="E122" s="42"/>
      <c r="F122" s="76">
        <f>10-10</f>
        <v>0</v>
      </c>
      <c r="G122" s="5"/>
      <c r="H122" s="4" t="s">
        <v>14</v>
      </c>
      <c r="I122" s="146"/>
      <c r="J122" s="72"/>
    </row>
    <row r="123" spans="1:10" ht="18" customHeight="1">
      <c r="A123" s="132"/>
      <c r="B123" s="152"/>
      <c r="C123" s="149"/>
      <c r="D123" s="34"/>
      <c r="E123" s="42"/>
      <c r="F123" s="19">
        <v>5</v>
      </c>
      <c r="G123" s="5"/>
      <c r="H123" s="4" t="s">
        <v>12</v>
      </c>
      <c r="I123" s="146"/>
      <c r="J123" s="72"/>
    </row>
    <row r="124" spans="1:10" ht="18" customHeight="1">
      <c r="A124" s="132"/>
      <c r="B124" s="153"/>
      <c r="C124" s="150"/>
      <c r="D124" s="35"/>
      <c r="E124" s="42"/>
      <c r="F124" s="19">
        <v>0</v>
      </c>
      <c r="G124" s="5"/>
      <c r="H124" s="4" t="s">
        <v>13</v>
      </c>
      <c r="I124" s="146"/>
      <c r="J124" s="72"/>
    </row>
    <row r="125" spans="1:10" ht="18" customHeight="1">
      <c r="A125" s="132"/>
      <c r="B125" s="151">
        <v>2016</v>
      </c>
      <c r="C125" s="148">
        <f>SUM(F125:F130)</f>
        <v>27</v>
      </c>
      <c r="D125" s="148"/>
      <c r="E125" s="42"/>
      <c r="F125" s="6">
        <f>10-10</f>
        <v>0</v>
      </c>
      <c r="G125" s="5"/>
      <c r="H125" s="4" t="s">
        <v>9</v>
      </c>
      <c r="I125" s="146"/>
      <c r="J125" s="72"/>
    </row>
    <row r="126" spans="1:10" ht="18" customHeight="1">
      <c r="A126" s="132"/>
      <c r="B126" s="152"/>
      <c r="C126" s="149"/>
      <c r="D126" s="149"/>
      <c r="E126" s="42"/>
      <c r="F126" s="6">
        <v>10</v>
      </c>
      <c r="G126" s="5"/>
      <c r="H126" s="4" t="s">
        <v>10</v>
      </c>
      <c r="I126" s="146"/>
      <c r="J126" s="72"/>
    </row>
    <row r="127" spans="1:10" ht="18" customHeight="1">
      <c r="A127" s="132"/>
      <c r="B127" s="152"/>
      <c r="C127" s="149"/>
      <c r="D127" s="149"/>
      <c r="E127" s="42"/>
      <c r="F127" s="19">
        <v>10</v>
      </c>
      <c r="G127" s="5"/>
      <c r="H127" s="4" t="s">
        <v>14</v>
      </c>
      <c r="I127" s="146"/>
      <c r="J127" s="72"/>
    </row>
    <row r="128" spans="1:10" ht="18" customHeight="1">
      <c r="A128" s="132"/>
      <c r="B128" s="152"/>
      <c r="C128" s="149"/>
      <c r="D128" s="149"/>
      <c r="E128" s="42"/>
      <c r="F128" s="19">
        <v>5</v>
      </c>
      <c r="G128" s="5"/>
      <c r="H128" s="4" t="s">
        <v>12</v>
      </c>
      <c r="I128" s="146"/>
      <c r="J128" s="72"/>
    </row>
    <row r="129" spans="1:10" ht="18" customHeight="1">
      <c r="A129" s="132"/>
      <c r="B129" s="152"/>
      <c r="C129" s="149"/>
      <c r="D129" s="149"/>
      <c r="E129" s="42"/>
      <c r="F129" s="19">
        <f>10-7.6-2.4</f>
        <v>0</v>
      </c>
      <c r="G129" s="5"/>
      <c r="H129" s="4" t="s">
        <v>13</v>
      </c>
      <c r="I129" s="147"/>
      <c r="J129" s="72"/>
    </row>
    <row r="130" spans="1:10" ht="18" customHeight="1">
      <c r="A130" s="133"/>
      <c r="B130" s="153"/>
      <c r="C130" s="150"/>
      <c r="D130" s="150"/>
      <c r="E130" s="42"/>
      <c r="F130" s="19">
        <v>2</v>
      </c>
      <c r="G130" s="5"/>
      <c r="H130" s="4" t="s">
        <v>11</v>
      </c>
      <c r="I130" s="84"/>
      <c r="J130" s="72"/>
    </row>
    <row r="131" spans="1:10" ht="18" customHeight="1">
      <c r="A131" s="131" t="s">
        <v>29</v>
      </c>
      <c r="B131" s="151">
        <v>2014</v>
      </c>
      <c r="C131" s="148">
        <f>F131+F132+F133+F134+F135+F136+F137</f>
        <v>488</v>
      </c>
      <c r="D131" s="31"/>
      <c r="E131" s="38"/>
      <c r="F131" s="6">
        <v>67</v>
      </c>
      <c r="G131" s="5"/>
      <c r="H131" s="4" t="s">
        <v>9</v>
      </c>
      <c r="I131" s="145" t="s">
        <v>30</v>
      </c>
      <c r="J131" s="72"/>
    </row>
    <row r="132" spans="1:10" ht="18" customHeight="1">
      <c r="A132" s="132"/>
      <c r="B132" s="152"/>
      <c r="C132" s="149"/>
      <c r="D132" s="34"/>
      <c r="E132" s="38"/>
      <c r="F132" s="6">
        <f>45-9</f>
        <v>36</v>
      </c>
      <c r="G132" s="5"/>
      <c r="H132" s="4" t="s">
        <v>10</v>
      </c>
      <c r="I132" s="146"/>
      <c r="J132" s="72"/>
    </row>
    <row r="133" spans="1:10" ht="18" customHeight="1">
      <c r="A133" s="132"/>
      <c r="B133" s="152"/>
      <c r="C133" s="149"/>
      <c r="D133" s="34"/>
      <c r="E133" s="38"/>
      <c r="F133" s="6">
        <v>80</v>
      </c>
      <c r="G133" s="5"/>
      <c r="H133" s="4" t="s">
        <v>14</v>
      </c>
      <c r="I133" s="146"/>
      <c r="J133" s="72"/>
    </row>
    <row r="134" spans="1:10" ht="18" customHeight="1">
      <c r="A134" s="132"/>
      <c r="B134" s="152"/>
      <c r="C134" s="149"/>
      <c r="D134" s="34"/>
      <c r="E134" s="38"/>
      <c r="F134" s="6">
        <v>63</v>
      </c>
      <c r="G134" s="5"/>
      <c r="H134" s="4" t="s">
        <v>11</v>
      </c>
      <c r="I134" s="146"/>
      <c r="J134" s="72"/>
    </row>
    <row r="135" spans="1:10" ht="18" customHeight="1">
      <c r="A135" s="132"/>
      <c r="B135" s="152"/>
      <c r="C135" s="149"/>
      <c r="D135" s="34"/>
      <c r="E135" s="38"/>
      <c r="F135" s="6">
        <v>75</v>
      </c>
      <c r="G135" s="5"/>
      <c r="H135" s="4" t="s">
        <v>12</v>
      </c>
      <c r="I135" s="146"/>
      <c r="J135" s="72">
        <v>225</v>
      </c>
    </row>
    <row r="136" spans="1:10" ht="18" customHeight="1">
      <c r="A136" s="132"/>
      <c r="B136" s="152"/>
      <c r="C136" s="149"/>
      <c r="D136" s="34"/>
      <c r="E136" s="38"/>
      <c r="F136" s="6">
        <v>65</v>
      </c>
      <c r="G136" s="5"/>
      <c r="H136" s="4" t="s">
        <v>15</v>
      </c>
      <c r="I136" s="146"/>
      <c r="J136" s="72"/>
    </row>
    <row r="137" spans="1:10" ht="18" customHeight="1">
      <c r="A137" s="132"/>
      <c r="B137" s="153"/>
      <c r="C137" s="150"/>
      <c r="D137" s="35"/>
      <c r="E137" s="38"/>
      <c r="F137" s="6">
        <f>110-8</f>
        <v>102</v>
      </c>
      <c r="G137" s="5"/>
      <c r="H137" s="4" t="s">
        <v>13</v>
      </c>
      <c r="I137" s="146"/>
      <c r="J137" s="72"/>
    </row>
    <row r="138" spans="1:10" ht="18" customHeight="1">
      <c r="A138" s="132"/>
      <c r="B138" s="151">
        <v>2015</v>
      </c>
      <c r="C138" s="142">
        <f>SUM(F138:F144)</f>
        <v>487.48418000000004</v>
      </c>
      <c r="D138" s="31"/>
      <c r="E138" s="42"/>
      <c r="F138" s="6">
        <v>54</v>
      </c>
      <c r="G138" s="5"/>
      <c r="H138" s="4" t="s">
        <v>9</v>
      </c>
      <c r="I138" s="146"/>
      <c r="J138" s="72"/>
    </row>
    <row r="139" spans="1:10" ht="18" customHeight="1">
      <c r="A139" s="132"/>
      <c r="B139" s="152"/>
      <c r="C139" s="143"/>
      <c r="D139" s="34"/>
      <c r="E139" s="42"/>
      <c r="F139" s="6">
        <v>36</v>
      </c>
      <c r="G139" s="5"/>
      <c r="H139" s="4" t="s">
        <v>10</v>
      </c>
      <c r="I139" s="146"/>
      <c r="J139" s="72"/>
    </row>
    <row r="140" spans="1:10" ht="17.25" customHeight="1">
      <c r="A140" s="132"/>
      <c r="B140" s="152"/>
      <c r="C140" s="143"/>
      <c r="D140" s="34"/>
      <c r="E140" s="42"/>
      <c r="F140" s="6">
        <f>80-48.243</f>
        <v>31.756999999999998</v>
      </c>
      <c r="G140" s="5"/>
      <c r="H140" s="4" t="s">
        <v>14</v>
      </c>
      <c r="I140" s="146"/>
      <c r="J140" s="72"/>
    </row>
    <row r="141" spans="1:10" ht="18" customHeight="1">
      <c r="A141" s="132"/>
      <c r="B141" s="152"/>
      <c r="C141" s="143"/>
      <c r="D141" s="34"/>
      <c r="E141" s="42"/>
      <c r="F141" s="6">
        <v>68.394</v>
      </c>
      <c r="G141" s="5"/>
      <c r="H141" s="4" t="s">
        <v>11</v>
      </c>
      <c r="I141" s="146"/>
      <c r="J141" s="72"/>
    </row>
    <row r="142" spans="1:10" ht="18" customHeight="1">
      <c r="A142" s="132"/>
      <c r="B142" s="152"/>
      <c r="C142" s="143"/>
      <c r="D142" s="34"/>
      <c r="E142" s="42"/>
      <c r="F142" s="6">
        <f>74.95-3.46982</f>
        <v>71.48018</v>
      </c>
      <c r="G142" s="5"/>
      <c r="H142" s="4" t="s">
        <v>12</v>
      </c>
      <c r="I142" s="146"/>
      <c r="J142" s="72"/>
    </row>
    <row r="143" spans="1:10" ht="18" customHeight="1">
      <c r="A143" s="132"/>
      <c r="B143" s="152"/>
      <c r="C143" s="143"/>
      <c r="D143" s="34"/>
      <c r="E143" s="42"/>
      <c r="F143" s="6">
        <f>75+10.853</f>
        <v>85.853</v>
      </c>
      <c r="G143" s="5"/>
      <c r="H143" s="4" t="s">
        <v>15</v>
      </c>
      <c r="I143" s="146"/>
      <c r="J143" s="72"/>
    </row>
    <row r="144" spans="1:10" ht="18" customHeight="1">
      <c r="A144" s="132"/>
      <c r="B144" s="153"/>
      <c r="C144" s="144"/>
      <c r="D144" s="35"/>
      <c r="E144" s="42"/>
      <c r="F144" s="6">
        <f>120+20</f>
        <v>140</v>
      </c>
      <c r="G144" s="5"/>
      <c r="H144" s="4" t="s">
        <v>13</v>
      </c>
      <c r="I144" s="146"/>
      <c r="J144" s="72"/>
    </row>
    <row r="145" spans="1:10" ht="18" customHeight="1">
      <c r="A145" s="132"/>
      <c r="B145" s="151">
        <v>2016</v>
      </c>
      <c r="C145" s="142">
        <f>SUM(F145:F151)</f>
        <v>496.02771999999993</v>
      </c>
      <c r="D145" s="31"/>
      <c r="E145" s="42"/>
      <c r="F145" s="6">
        <f>67-2-2.6</f>
        <v>62.4</v>
      </c>
      <c r="G145" s="5"/>
      <c r="H145" s="4" t="s">
        <v>9</v>
      </c>
      <c r="I145" s="146"/>
      <c r="J145" s="72"/>
    </row>
    <row r="146" spans="1:10" ht="18" customHeight="1">
      <c r="A146" s="132"/>
      <c r="B146" s="152"/>
      <c r="C146" s="143"/>
      <c r="D146" s="34"/>
      <c r="E146" s="42"/>
      <c r="F146" s="6">
        <f>45-9</f>
        <v>36</v>
      </c>
      <c r="G146" s="5"/>
      <c r="H146" s="4" t="s">
        <v>10</v>
      </c>
      <c r="I146" s="146"/>
      <c r="J146" s="72"/>
    </row>
    <row r="147" spans="1:10" ht="18" customHeight="1">
      <c r="A147" s="132"/>
      <c r="B147" s="152"/>
      <c r="C147" s="143"/>
      <c r="D147" s="34"/>
      <c r="E147" s="42"/>
      <c r="F147" s="21">
        <f>115-2.8981-21.2-12-7.54-1</f>
        <v>70.36189999999999</v>
      </c>
      <c r="G147" s="5"/>
      <c r="H147" s="4" t="s">
        <v>14</v>
      </c>
      <c r="I147" s="146"/>
      <c r="J147" s="72"/>
    </row>
    <row r="148" spans="1:10" ht="18" customHeight="1">
      <c r="A148" s="132"/>
      <c r="B148" s="152"/>
      <c r="C148" s="143"/>
      <c r="D148" s="34"/>
      <c r="E148" s="42"/>
      <c r="F148" s="21">
        <f>63-1.07128-0.39872</f>
        <v>61.53</v>
      </c>
      <c r="G148" s="5"/>
      <c r="H148" s="4" t="s">
        <v>11</v>
      </c>
      <c r="I148" s="146"/>
      <c r="J148" s="72"/>
    </row>
    <row r="149" spans="1:10" ht="18" customHeight="1">
      <c r="A149" s="132"/>
      <c r="B149" s="152"/>
      <c r="C149" s="143"/>
      <c r="D149" s="34"/>
      <c r="E149" s="42"/>
      <c r="F149" s="22">
        <f>110-15.71948</f>
        <v>94.28052</v>
      </c>
      <c r="G149" s="5"/>
      <c r="H149" s="4" t="s">
        <v>12</v>
      </c>
      <c r="I149" s="146"/>
      <c r="J149" s="72"/>
    </row>
    <row r="150" spans="1:10" ht="18" customHeight="1">
      <c r="A150" s="132"/>
      <c r="B150" s="152"/>
      <c r="C150" s="143"/>
      <c r="D150" s="34"/>
      <c r="E150" s="42"/>
      <c r="F150" s="6">
        <f>65+10-2.25-1.2947</f>
        <v>71.4553</v>
      </c>
      <c r="G150" s="5"/>
      <c r="H150" s="4" t="s">
        <v>15</v>
      </c>
      <c r="I150" s="146"/>
      <c r="J150" s="72"/>
    </row>
    <row r="151" spans="1:10" ht="18" customHeight="1">
      <c r="A151" s="133"/>
      <c r="B151" s="153"/>
      <c r="C151" s="144"/>
      <c r="D151" s="35"/>
      <c r="E151" s="42"/>
      <c r="F151" s="6">
        <f>110-10</f>
        <v>100</v>
      </c>
      <c r="G151" s="5"/>
      <c r="H151" s="4" t="s">
        <v>13</v>
      </c>
      <c r="I151" s="147"/>
      <c r="J151" s="72"/>
    </row>
    <row r="152" spans="1:10" ht="16.5" customHeight="1">
      <c r="A152" s="131" t="s">
        <v>48</v>
      </c>
      <c r="B152" s="151">
        <v>2014</v>
      </c>
      <c r="C152" s="148">
        <f>F152+F153+F154+F155+F156+F157+F158+E152+E153+E154+E155+E156+E157+E158</f>
        <v>105.9</v>
      </c>
      <c r="D152" s="31"/>
      <c r="E152" s="6">
        <v>5.6</v>
      </c>
      <c r="F152" s="6">
        <v>8.8</v>
      </c>
      <c r="G152" s="5"/>
      <c r="H152" s="4" t="s">
        <v>9</v>
      </c>
      <c r="I152" s="145" t="s">
        <v>36</v>
      </c>
      <c r="J152" s="72"/>
    </row>
    <row r="153" spans="1:10" ht="13.5" customHeight="1">
      <c r="A153" s="132"/>
      <c r="B153" s="152"/>
      <c r="C153" s="149"/>
      <c r="D153" s="34"/>
      <c r="E153" s="6">
        <f>6.7-1.2</f>
        <v>5.5</v>
      </c>
      <c r="F153" s="6">
        <v>7.7</v>
      </c>
      <c r="G153" s="5"/>
      <c r="H153" s="4" t="s">
        <v>10</v>
      </c>
      <c r="I153" s="146"/>
      <c r="J153" s="72"/>
    </row>
    <row r="154" spans="1:10" ht="15" customHeight="1">
      <c r="A154" s="132"/>
      <c r="B154" s="152"/>
      <c r="C154" s="149"/>
      <c r="D154" s="34"/>
      <c r="E154" s="6">
        <f>6.7-5.5</f>
        <v>1.2000000000000002</v>
      </c>
      <c r="F154" s="6">
        <v>7.7</v>
      </c>
      <c r="G154" s="5"/>
      <c r="H154" s="4" t="s">
        <v>14</v>
      </c>
      <c r="I154" s="146"/>
      <c r="J154" s="72"/>
    </row>
    <row r="155" spans="1:10" ht="18.75" customHeight="1">
      <c r="A155" s="132"/>
      <c r="B155" s="152"/>
      <c r="C155" s="149"/>
      <c r="D155" s="34"/>
      <c r="E155" s="6">
        <v>6.7</v>
      </c>
      <c r="F155" s="6">
        <v>7.7</v>
      </c>
      <c r="G155" s="5"/>
      <c r="H155" s="4" t="s">
        <v>11</v>
      </c>
      <c r="I155" s="146"/>
      <c r="J155" s="72"/>
    </row>
    <row r="156" spans="1:10" ht="18.75" customHeight="1">
      <c r="A156" s="132"/>
      <c r="B156" s="152"/>
      <c r="C156" s="149"/>
      <c r="D156" s="34"/>
      <c r="E156" s="6">
        <f>6.7-1.2</f>
        <v>5.5</v>
      </c>
      <c r="F156" s="6">
        <v>7.7</v>
      </c>
      <c r="G156" s="5"/>
      <c r="H156" s="4" t="s">
        <v>12</v>
      </c>
      <c r="I156" s="146"/>
      <c r="J156" s="72"/>
    </row>
    <row r="157" spans="1:10" ht="18.75" customHeight="1">
      <c r="A157" s="132"/>
      <c r="B157" s="152"/>
      <c r="C157" s="149"/>
      <c r="D157" s="34"/>
      <c r="E157" s="6">
        <f>6.7-1.2</f>
        <v>5.5</v>
      </c>
      <c r="F157" s="6">
        <v>7.7</v>
      </c>
      <c r="G157" s="5"/>
      <c r="H157" s="4" t="s">
        <v>18</v>
      </c>
      <c r="I157" s="146"/>
      <c r="J157" s="72">
        <v>225</v>
      </c>
    </row>
    <row r="158" spans="1:10" ht="18.75" customHeight="1">
      <c r="A158" s="132"/>
      <c r="B158" s="153"/>
      <c r="C158" s="150"/>
      <c r="D158" s="35"/>
      <c r="E158" s="6">
        <f>35-21.8</f>
        <v>13.2</v>
      </c>
      <c r="F158" s="6">
        <v>15.4</v>
      </c>
      <c r="G158" s="5"/>
      <c r="H158" s="4" t="s">
        <v>13</v>
      </c>
      <c r="I158" s="146"/>
      <c r="J158" s="72"/>
    </row>
    <row r="159" spans="1:10" ht="18.75" customHeight="1">
      <c r="A159" s="132"/>
      <c r="B159" s="151">
        <v>2015</v>
      </c>
      <c r="C159" s="142">
        <f>SUM(F159:F165)</f>
        <v>174.461</v>
      </c>
      <c r="D159" s="31"/>
      <c r="E159" s="42"/>
      <c r="F159" s="6">
        <v>15.6</v>
      </c>
      <c r="G159" s="5"/>
      <c r="H159" s="4" t="s">
        <v>9</v>
      </c>
      <c r="I159" s="146"/>
      <c r="J159" s="72"/>
    </row>
    <row r="160" spans="1:10" ht="18.75" customHeight="1">
      <c r="A160" s="132"/>
      <c r="B160" s="152"/>
      <c r="C160" s="143"/>
      <c r="D160" s="34"/>
      <c r="E160" s="42"/>
      <c r="F160" s="6">
        <v>14.463</v>
      </c>
      <c r="G160" s="5"/>
      <c r="H160" s="4" t="s">
        <v>10</v>
      </c>
      <c r="I160" s="146"/>
      <c r="J160" s="72"/>
    </row>
    <row r="161" spans="1:10" s="11" customFormat="1" ht="16.5" customHeight="1">
      <c r="A161" s="132"/>
      <c r="B161" s="152"/>
      <c r="C161" s="143"/>
      <c r="D161" s="34"/>
      <c r="E161" s="44"/>
      <c r="F161" s="75">
        <f>14.4+12</f>
        <v>26.4</v>
      </c>
      <c r="G161" s="10"/>
      <c r="H161" s="4" t="s">
        <v>14</v>
      </c>
      <c r="I161" s="146"/>
      <c r="J161" s="73"/>
    </row>
    <row r="162" spans="1:10" s="11" customFormat="1" ht="16.5" customHeight="1">
      <c r="A162" s="132"/>
      <c r="B162" s="152"/>
      <c r="C162" s="143"/>
      <c r="D162" s="34"/>
      <c r="E162" s="44"/>
      <c r="F162" s="6">
        <v>26.4</v>
      </c>
      <c r="G162" s="10"/>
      <c r="H162" s="4" t="s">
        <v>11</v>
      </c>
      <c r="I162" s="146"/>
      <c r="J162" s="73"/>
    </row>
    <row r="163" spans="1:10" s="11" customFormat="1" ht="16.5" customHeight="1">
      <c r="A163" s="132"/>
      <c r="B163" s="152"/>
      <c r="C163" s="143"/>
      <c r="D163" s="34"/>
      <c r="E163" s="44"/>
      <c r="F163" s="6">
        <v>14.4</v>
      </c>
      <c r="G163" s="10"/>
      <c r="H163" s="4" t="s">
        <v>12</v>
      </c>
      <c r="I163" s="146"/>
      <c r="J163" s="73"/>
    </row>
    <row r="164" spans="1:11" s="11" customFormat="1" ht="16.5" customHeight="1">
      <c r="A164" s="132"/>
      <c r="B164" s="152"/>
      <c r="C164" s="143"/>
      <c r="D164" s="34"/>
      <c r="E164" s="44"/>
      <c r="F164" s="6">
        <v>26.4</v>
      </c>
      <c r="G164" s="10"/>
      <c r="H164" s="4" t="s">
        <v>18</v>
      </c>
      <c r="I164" s="146"/>
      <c r="J164" s="73"/>
      <c r="K164" s="7"/>
    </row>
    <row r="165" spans="1:10" s="11" customFormat="1" ht="16.5" customHeight="1">
      <c r="A165" s="132"/>
      <c r="B165" s="153"/>
      <c r="C165" s="144"/>
      <c r="D165" s="35"/>
      <c r="E165" s="44"/>
      <c r="F165" s="6">
        <v>50.798</v>
      </c>
      <c r="G165" s="10"/>
      <c r="H165" s="4" t="s">
        <v>13</v>
      </c>
      <c r="I165" s="146"/>
      <c r="J165" s="73"/>
    </row>
    <row r="166" spans="1:10" s="11" customFormat="1" ht="16.5" customHeight="1">
      <c r="A166" s="132"/>
      <c r="B166" s="151">
        <v>2016</v>
      </c>
      <c r="C166" s="148">
        <f>SUM(F166:F172)</f>
        <v>248.44800000000004</v>
      </c>
      <c r="D166" s="31"/>
      <c r="E166" s="44"/>
      <c r="F166" s="6">
        <f>14.4+12+50-8</f>
        <v>68.4</v>
      </c>
      <c r="G166" s="10"/>
      <c r="H166" s="4" t="s">
        <v>9</v>
      </c>
      <c r="I166" s="146"/>
      <c r="J166" s="73"/>
    </row>
    <row r="167" spans="1:10" s="11" customFormat="1" ht="16.5" customHeight="1">
      <c r="A167" s="132"/>
      <c r="B167" s="152"/>
      <c r="C167" s="149"/>
      <c r="D167" s="34"/>
      <c r="E167" s="44"/>
      <c r="F167" s="6">
        <f>14.4+18.056+1.192</f>
        <v>33.648</v>
      </c>
      <c r="G167" s="10"/>
      <c r="H167" s="4" t="s">
        <v>10</v>
      </c>
      <c r="I167" s="146"/>
      <c r="J167" s="73"/>
    </row>
    <row r="168" spans="1:10" s="11" customFormat="1" ht="16.5" customHeight="1">
      <c r="A168" s="132"/>
      <c r="B168" s="152"/>
      <c r="C168" s="149"/>
      <c r="D168" s="34"/>
      <c r="E168" s="44"/>
      <c r="F168" s="6">
        <f>14.4+12</f>
        <v>26.4</v>
      </c>
      <c r="G168" s="10"/>
      <c r="H168" s="4" t="s">
        <v>14</v>
      </c>
      <c r="I168" s="146"/>
      <c r="J168" s="73"/>
    </row>
    <row r="169" spans="1:10" s="11" customFormat="1" ht="16.5" customHeight="1">
      <c r="A169" s="132"/>
      <c r="B169" s="152"/>
      <c r="C169" s="149"/>
      <c r="D169" s="34"/>
      <c r="E169" s="44"/>
      <c r="F169" s="6">
        <f>14.4+12</f>
        <v>26.4</v>
      </c>
      <c r="G169" s="10"/>
      <c r="H169" s="4" t="s">
        <v>11</v>
      </c>
      <c r="I169" s="146"/>
      <c r="J169" s="73"/>
    </row>
    <row r="170" spans="1:10" s="11" customFormat="1" ht="16.5" customHeight="1">
      <c r="A170" s="132"/>
      <c r="B170" s="152"/>
      <c r="C170" s="149"/>
      <c r="D170" s="34"/>
      <c r="E170" s="44"/>
      <c r="F170" s="6">
        <v>14.4</v>
      </c>
      <c r="G170" s="10"/>
      <c r="H170" s="4" t="s">
        <v>12</v>
      </c>
      <c r="I170" s="146"/>
      <c r="J170" s="73"/>
    </row>
    <row r="171" spans="1:10" s="11" customFormat="1" ht="16.5" customHeight="1">
      <c r="A171" s="132"/>
      <c r="B171" s="152"/>
      <c r="C171" s="149"/>
      <c r="D171" s="34"/>
      <c r="E171" s="44"/>
      <c r="F171" s="6">
        <f>14.4+12</f>
        <v>26.4</v>
      </c>
      <c r="G171" s="10"/>
      <c r="H171" s="4" t="s">
        <v>18</v>
      </c>
      <c r="I171" s="146"/>
      <c r="J171" s="73"/>
    </row>
    <row r="172" spans="1:10" s="11" customFormat="1" ht="16.5" customHeight="1">
      <c r="A172" s="133"/>
      <c r="B172" s="153"/>
      <c r="C172" s="150"/>
      <c r="D172" s="35"/>
      <c r="E172" s="44"/>
      <c r="F172" s="6">
        <f>50.4+2.4</f>
        <v>52.8</v>
      </c>
      <c r="G172" s="10"/>
      <c r="H172" s="4" t="s">
        <v>13</v>
      </c>
      <c r="I172" s="147"/>
      <c r="J172" s="73"/>
    </row>
    <row r="173" spans="1:10" ht="16.5" customHeight="1">
      <c r="A173" s="131" t="s">
        <v>78</v>
      </c>
      <c r="B173" s="151">
        <v>2015</v>
      </c>
      <c r="C173" s="142">
        <f>F173+F177</f>
        <v>40.17855</v>
      </c>
      <c r="D173" s="31"/>
      <c r="E173" s="194"/>
      <c r="F173" s="192">
        <v>0</v>
      </c>
      <c r="G173" s="189"/>
      <c r="H173" s="145" t="s">
        <v>18</v>
      </c>
      <c r="I173" s="189" t="s">
        <v>25</v>
      </c>
      <c r="J173" s="72"/>
    </row>
    <row r="174" spans="1:10" ht="16.5" customHeight="1">
      <c r="A174" s="132"/>
      <c r="B174" s="152"/>
      <c r="C174" s="143"/>
      <c r="D174" s="34"/>
      <c r="E174" s="195"/>
      <c r="F174" s="197"/>
      <c r="G174" s="190"/>
      <c r="H174" s="146"/>
      <c r="I174" s="190"/>
      <c r="J174" s="72"/>
    </row>
    <row r="175" spans="1:10" ht="12.75" customHeight="1">
      <c r="A175" s="132"/>
      <c r="B175" s="152"/>
      <c r="C175" s="143"/>
      <c r="D175" s="34"/>
      <c r="E175" s="195"/>
      <c r="F175" s="197"/>
      <c r="G175" s="190"/>
      <c r="H175" s="146"/>
      <c r="I175" s="190"/>
      <c r="J175" s="72"/>
    </row>
    <row r="176" spans="1:10" ht="20.25" customHeight="1">
      <c r="A176" s="132"/>
      <c r="B176" s="152"/>
      <c r="C176" s="143"/>
      <c r="D176" s="35"/>
      <c r="E176" s="196"/>
      <c r="F176" s="193"/>
      <c r="G176" s="191"/>
      <c r="H176" s="147"/>
      <c r="I176" s="190"/>
      <c r="J176" s="72"/>
    </row>
    <row r="177" spans="1:10" ht="45" customHeight="1">
      <c r="A177" s="133"/>
      <c r="B177" s="153"/>
      <c r="C177" s="144"/>
      <c r="D177" s="9"/>
      <c r="E177" s="38"/>
      <c r="F177" s="22">
        <f>40+0.17855</f>
        <v>40.17855</v>
      </c>
      <c r="G177" s="14"/>
      <c r="H177" s="20" t="s">
        <v>58</v>
      </c>
      <c r="I177" s="191"/>
      <c r="J177" s="72"/>
    </row>
    <row r="178" spans="1:10" ht="129.75" customHeight="1">
      <c r="A178" s="131" t="s">
        <v>90</v>
      </c>
      <c r="B178" s="8">
        <v>2015</v>
      </c>
      <c r="C178" s="9">
        <f>F178</f>
        <v>15</v>
      </c>
      <c r="D178" s="9"/>
      <c r="E178" s="38"/>
      <c r="F178" s="6">
        <v>15</v>
      </c>
      <c r="G178" s="14"/>
      <c r="H178" s="4" t="s">
        <v>10</v>
      </c>
      <c r="I178" s="14"/>
      <c r="J178" s="72"/>
    </row>
    <row r="179" spans="1:10" ht="129.75" customHeight="1">
      <c r="A179" s="133"/>
      <c r="B179" s="8">
        <v>2016</v>
      </c>
      <c r="C179" s="9">
        <f>F179</f>
        <v>8</v>
      </c>
      <c r="D179" s="9"/>
      <c r="E179" s="38"/>
      <c r="F179" s="6">
        <v>8</v>
      </c>
      <c r="G179" s="14"/>
      <c r="H179" s="4" t="s">
        <v>9</v>
      </c>
      <c r="I179" s="14"/>
      <c r="J179" s="72"/>
    </row>
    <row r="180" spans="1:10" ht="22.5" customHeight="1">
      <c r="A180" s="186" t="s">
        <v>76</v>
      </c>
      <c r="B180" s="187"/>
      <c r="C180" s="187"/>
      <c r="D180" s="187"/>
      <c r="E180" s="187"/>
      <c r="F180" s="187"/>
      <c r="G180" s="187"/>
      <c r="H180" s="187"/>
      <c r="I180" s="188"/>
      <c r="J180" s="72"/>
    </row>
    <row r="181" spans="1:10" ht="21" customHeight="1">
      <c r="A181" s="176" t="s">
        <v>79</v>
      </c>
      <c r="B181" s="177"/>
      <c r="C181" s="177"/>
      <c r="D181" s="177"/>
      <c r="E181" s="177"/>
      <c r="F181" s="177"/>
      <c r="G181" s="177"/>
      <c r="H181" s="177"/>
      <c r="I181" s="178"/>
      <c r="J181" s="72"/>
    </row>
    <row r="182" spans="1:10" ht="18.75" customHeight="1">
      <c r="A182" s="179" t="s">
        <v>81</v>
      </c>
      <c r="B182" s="180"/>
      <c r="C182" s="180"/>
      <c r="D182" s="180"/>
      <c r="E182" s="180"/>
      <c r="F182" s="180"/>
      <c r="G182" s="180"/>
      <c r="H182" s="180"/>
      <c r="I182" s="181"/>
      <c r="J182" s="72"/>
    </row>
    <row r="183" spans="1:10" ht="18">
      <c r="A183" s="13" t="s">
        <v>8</v>
      </c>
      <c r="B183" s="8"/>
      <c r="C183" s="8"/>
      <c r="D183" s="8"/>
      <c r="E183" s="42"/>
      <c r="F183" s="14"/>
      <c r="G183" s="5"/>
      <c r="H183" s="20"/>
      <c r="I183" s="14"/>
      <c r="J183" s="72"/>
    </row>
    <row r="184" spans="1:10" ht="20.25" customHeight="1">
      <c r="A184" s="131" t="s">
        <v>95</v>
      </c>
      <c r="B184" s="151">
        <v>2014</v>
      </c>
      <c r="C184" s="148">
        <f>F184+F185+F186+F187+F188+F189+F190+E184+E185+E186+E187+E188+E189+E190</f>
        <v>15.8</v>
      </c>
      <c r="D184" s="31"/>
      <c r="E184" s="6">
        <v>0</v>
      </c>
      <c r="F184" s="6">
        <v>0</v>
      </c>
      <c r="G184" s="5"/>
      <c r="H184" s="4" t="s">
        <v>9</v>
      </c>
      <c r="I184" s="145" t="s">
        <v>33</v>
      </c>
      <c r="J184" s="72"/>
    </row>
    <row r="185" spans="1:10" ht="20.25" customHeight="1">
      <c r="A185" s="132"/>
      <c r="B185" s="152"/>
      <c r="C185" s="149"/>
      <c r="D185" s="34"/>
      <c r="E185" s="6">
        <f>4+8.8</f>
        <v>12.8</v>
      </c>
      <c r="F185" s="6">
        <v>0</v>
      </c>
      <c r="G185" s="5"/>
      <c r="H185" s="4" t="s">
        <v>10</v>
      </c>
      <c r="I185" s="146"/>
      <c r="J185" s="72"/>
    </row>
    <row r="186" spans="1:10" ht="20.25" customHeight="1">
      <c r="A186" s="132"/>
      <c r="B186" s="152"/>
      <c r="C186" s="149"/>
      <c r="D186" s="34"/>
      <c r="E186" s="6">
        <v>0</v>
      </c>
      <c r="F186" s="6">
        <v>0</v>
      </c>
      <c r="G186" s="5"/>
      <c r="H186" s="4" t="s">
        <v>14</v>
      </c>
      <c r="I186" s="146"/>
      <c r="J186" s="72"/>
    </row>
    <row r="187" spans="1:10" ht="16.5" customHeight="1">
      <c r="A187" s="132"/>
      <c r="B187" s="152"/>
      <c r="C187" s="149"/>
      <c r="D187" s="34"/>
      <c r="E187" s="6">
        <v>3</v>
      </c>
      <c r="F187" s="6">
        <v>0</v>
      </c>
      <c r="G187" s="5"/>
      <c r="H187" s="4" t="s">
        <v>11</v>
      </c>
      <c r="I187" s="146"/>
      <c r="J187" s="72">
        <v>225</v>
      </c>
    </row>
    <row r="188" spans="1:10" ht="16.5" customHeight="1">
      <c r="A188" s="132"/>
      <c r="B188" s="152"/>
      <c r="C188" s="149"/>
      <c r="D188" s="34"/>
      <c r="E188" s="6">
        <v>0</v>
      </c>
      <c r="F188" s="6">
        <v>0</v>
      </c>
      <c r="G188" s="5"/>
      <c r="H188" s="4" t="s">
        <v>12</v>
      </c>
      <c r="I188" s="146"/>
      <c r="J188" s="72"/>
    </row>
    <row r="189" spans="1:10" ht="16.5" customHeight="1">
      <c r="A189" s="132"/>
      <c r="B189" s="152"/>
      <c r="C189" s="149"/>
      <c r="D189" s="34"/>
      <c r="E189" s="6">
        <v>0</v>
      </c>
      <c r="F189" s="6">
        <v>0</v>
      </c>
      <c r="G189" s="5"/>
      <c r="H189" s="4" t="s">
        <v>15</v>
      </c>
      <c r="I189" s="146"/>
      <c r="J189" s="72"/>
    </row>
    <row r="190" spans="1:10" ht="16.5" customHeight="1">
      <c r="A190" s="132"/>
      <c r="B190" s="153"/>
      <c r="C190" s="150"/>
      <c r="D190" s="35"/>
      <c r="E190" s="6">
        <v>0</v>
      </c>
      <c r="F190" s="6">
        <v>0</v>
      </c>
      <c r="G190" s="5"/>
      <c r="H190" s="4" t="s">
        <v>13</v>
      </c>
      <c r="I190" s="146"/>
      <c r="J190" s="72"/>
    </row>
    <row r="191" spans="1:10" ht="16.5" customHeight="1">
      <c r="A191" s="132"/>
      <c r="B191" s="151">
        <v>2015</v>
      </c>
      <c r="C191" s="148">
        <f>SUM(F191:F197)</f>
        <v>33.32</v>
      </c>
      <c r="D191" s="31"/>
      <c r="E191" s="42"/>
      <c r="F191" s="6">
        <v>3.32</v>
      </c>
      <c r="G191" s="5"/>
      <c r="H191" s="4" t="s">
        <v>9</v>
      </c>
      <c r="I191" s="146"/>
      <c r="J191" s="72"/>
    </row>
    <row r="192" spans="1:10" ht="16.5" customHeight="1">
      <c r="A192" s="132"/>
      <c r="B192" s="152"/>
      <c r="C192" s="149"/>
      <c r="D192" s="34"/>
      <c r="E192" s="42"/>
      <c r="F192" s="6">
        <v>19</v>
      </c>
      <c r="G192" s="5"/>
      <c r="H192" s="4" t="s">
        <v>10</v>
      </c>
      <c r="I192" s="146"/>
      <c r="J192" s="72"/>
    </row>
    <row r="193" spans="1:10" ht="16.5" customHeight="1">
      <c r="A193" s="132"/>
      <c r="B193" s="152"/>
      <c r="C193" s="149"/>
      <c r="D193" s="34"/>
      <c r="E193" s="42"/>
      <c r="F193" s="75">
        <f>4-4</f>
        <v>0</v>
      </c>
      <c r="G193" s="5"/>
      <c r="H193" s="4" t="s">
        <v>14</v>
      </c>
      <c r="I193" s="146"/>
      <c r="J193" s="72"/>
    </row>
    <row r="194" spans="1:10" ht="16.5" customHeight="1">
      <c r="A194" s="132"/>
      <c r="B194" s="152"/>
      <c r="C194" s="149"/>
      <c r="D194" s="34"/>
      <c r="E194" s="42"/>
      <c r="F194" s="6">
        <f>3+0.5</f>
        <v>3.5</v>
      </c>
      <c r="G194" s="5"/>
      <c r="H194" s="4" t="s">
        <v>11</v>
      </c>
      <c r="I194" s="146"/>
      <c r="J194" s="72"/>
    </row>
    <row r="195" spans="1:10" ht="16.5" customHeight="1">
      <c r="A195" s="132"/>
      <c r="B195" s="152"/>
      <c r="C195" s="149"/>
      <c r="D195" s="34"/>
      <c r="E195" s="42"/>
      <c r="F195" s="6">
        <v>3.5</v>
      </c>
      <c r="G195" s="5"/>
      <c r="H195" s="4" t="s">
        <v>12</v>
      </c>
      <c r="I195" s="146"/>
      <c r="J195" s="72"/>
    </row>
    <row r="196" spans="1:10" ht="16.5" customHeight="1">
      <c r="A196" s="132"/>
      <c r="B196" s="152"/>
      <c r="C196" s="149"/>
      <c r="D196" s="34"/>
      <c r="E196" s="42"/>
      <c r="F196" s="6">
        <v>0</v>
      </c>
      <c r="G196" s="5"/>
      <c r="H196" s="4" t="s">
        <v>15</v>
      </c>
      <c r="I196" s="146"/>
      <c r="J196" s="72"/>
    </row>
    <row r="197" spans="1:10" ht="16.5" customHeight="1">
      <c r="A197" s="132"/>
      <c r="B197" s="153"/>
      <c r="C197" s="150"/>
      <c r="D197" s="35"/>
      <c r="E197" s="42"/>
      <c r="F197" s="6">
        <v>4</v>
      </c>
      <c r="G197" s="5"/>
      <c r="H197" s="4" t="s">
        <v>13</v>
      </c>
      <c r="I197" s="146"/>
      <c r="J197" s="72"/>
    </row>
    <row r="198" spans="1:10" ht="16.5" customHeight="1">
      <c r="A198" s="132"/>
      <c r="B198" s="151">
        <v>2016</v>
      </c>
      <c r="C198" s="148">
        <f>SUM(F198:F204)</f>
        <v>23</v>
      </c>
      <c r="D198" s="31"/>
      <c r="E198" s="42"/>
      <c r="F198" s="6">
        <v>2</v>
      </c>
      <c r="G198" s="5"/>
      <c r="H198" s="4" t="s">
        <v>9</v>
      </c>
      <c r="I198" s="146"/>
      <c r="J198" s="72"/>
    </row>
    <row r="199" spans="1:10" ht="16.5" customHeight="1">
      <c r="A199" s="132"/>
      <c r="B199" s="152"/>
      <c r="C199" s="149"/>
      <c r="D199" s="34"/>
      <c r="E199" s="42"/>
      <c r="F199" s="6">
        <v>4</v>
      </c>
      <c r="G199" s="5"/>
      <c r="H199" s="4" t="s">
        <v>10</v>
      </c>
      <c r="I199" s="146"/>
      <c r="J199" s="72"/>
    </row>
    <row r="200" spans="1:10" ht="16.5" customHeight="1">
      <c r="A200" s="132"/>
      <c r="B200" s="152"/>
      <c r="C200" s="149"/>
      <c r="D200" s="34"/>
      <c r="E200" s="42"/>
      <c r="F200" s="6">
        <f>4</f>
        <v>4</v>
      </c>
      <c r="G200" s="5"/>
      <c r="H200" s="4" t="s">
        <v>14</v>
      </c>
      <c r="I200" s="146"/>
      <c r="J200" s="72"/>
    </row>
    <row r="201" spans="1:10" ht="16.5" customHeight="1">
      <c r="A201" s="132"/>
      <c r="B201" s="152"/>
      <c r="C201" s="149"/>
      <c r="D201" s="34"/>
      <c r="E201" s="42"/>
      <c r="F201" s="6">
        <v>3</v>
      </c>
      <c r="G201" s="5"/>
      <c r="H201" s="4" t="s">
        <v>11</v>
      </c>
      <c r="I201" s="146"/>
      <c r="J201" s="72"/>
    </row>
    <row r="202" spans="1:10" ht="16.5" customHeight="1">
      <c r="A202" s="132"/>
      <c r="B202" s="152"/>
      <c r="C202" s="149"/>
      <c r="D202" s="34"/>
      <c r="E202" s="42"/>
      <c r="F202" s="6">
        <v>3.5</v>
      </c>
      <c r="G202" s="5"/>
      <c r="H202" s="4" t="s">
        <v>12</v>
      </c>
      <c r="I202" s="146"/>
      <c r="J202" s="72"/>
    </row>
    <row r="203" spans="1:10" ht="16.5" customHeight="1">
      <c r="A203" s="132"/>
      <c r="B203" s="152"/>
      <c r="C203" s="149"/>
      <c r="D203" s="34"/>
      <c r="E203" s="42"/>
      <c r="F203" s="6">
        <v>2.5</v>
      </c>
      <c r="G203" s="5"/>
      <c r="H203" s="4" t="s">
        <v>15</v>
      </c>
      <c r="I203" s="146"/>
      <c r="J203" s="72"/>
    </row>
    <row r="204" spans="1:10" ht="16.5" customHeight="1">
      <c r="A204" s="133"/>
      <c r="B204" s="153"/>
      <c r="C204" s="150"/>
      <c r="D204" s="35"/>
      <c r="E204" s="42"/>
      <c r="F204" s="6">
        <v>4</v>
      </c>
      <c r="G204" s="5"/>
      <c r="H204" s="4" t="s">
        <v>13</v>
      </c>
      <c r="I204" s="147"/>
      <c r="J204" s="72"/>
    </row>
    <row r="205" spans="1:10" ht="15.75" customHeight="1">
      <c r="A205" s="131" t="s">
        <v>49</v>
      </c>
      <c r="B205" s="151">
        <v>2014</v>
      </c>
      <c r="C205" s="148">
        <f>F205+F206+F207+F208+F209+F210+F211+E206</f>
        <v>127</v>
      </c>
      <c r="D205" s="31"/>
      <c r="E205" s="42"/>
      <c r="F205" s="6">
        <v>15</v>
      </c>
      <c r="G205" s="5"/>
      <c r="H205" s="4" t="s">
        <v>9</v>
      </c>
      <c r="I205" s="189"/>
      <c r="J205" s="72"/>
    </row>
    <row r="206" spans="1:10" ht="15.75" customHeight="1">
      <c r="A206" s="132"/>
      <c r="B206" s="152"/>
      <c r="C206" s="149"/>
      <c r="D206" s="34"/>
      <c r="E206" s="6">
        <v>20</v>
      </c>
      <c r="F206" s="6">
        <v>0</v>
      </c>
      <c r="G206" s="5"/>
      <c r="H206" s="4" t="s">
        <v>10</v>
      </c>
      <c r="I206" s="190"/>
      <c r="J206" s="72"/>
    </row>
    <row r="207" spans="1:10" ht="15.75" customHeight="1">
      <c r="A207" s="132"/>
      <c r="B207" s="152"/>
      <c r="C207" s="149"/>
      <c r="D207" s="34"/>
      <c r="E207" s="42"/>
      <c r="F207" s="6">
        <v>10</v>
      </c>
      <c r="G207" s="5"/>
      <c r="H207" s="4" t="s">
        <v>14</v>
      </c>
      <c r="I207" s="190"/>
      <c r="J207" s="72"/>
    </row>
    <row r="208" spans="1:10" ht="15.75" customHeight="1">
      <c r="A208" s="132"/>
      <c r="B208" s="152"/>
      <c r="C208" s="149"/>
      <c r="D208" s="34"/>
      <c r="E208" s="42"/>
      <c r="F208" s="6">
        <v>10</v>
      </c>
      <c r="G208" s="5"/>
      <c r="H208" s="4" t="s">
        <v>11</v>
      </c>
      <c r="I208" s="190"/>
      <c r="J208" s="72"/>
    </row>
    <row r="209" spans="1:10" ht="17.25" customHeight="1">
      <c r="A209" s="132"/>
      <c r="B209" s="152"/>
      <c r="C209" s="149"/>
      <c r="D209" s="34"/>
      <c r="E209" s="42"/>
      <c r="F209" s="6">
        <v>28</v>
      </c>
      <c r="G209" s="5"/>
      <c r="H209" s="4" t="s">
        <v>12</v>
      </c>
      <c r="I209" s="190"/>
      <c r="J209" s="72"/>
    </row>
    <row r="210" spans="1:10" ht="17.25" customHeight="1">
      <c r="A210" s="132"/>
      <c r="B210" s="152"/>
      <c r="C210" s="149"/>
      <c r="D210" s="34"/>
      <c r="E210" s="42"/>
      <c r="F210" s="6">
        <v>12</v>
      </c>
      <c r="G210" s="5"/>
      <c r="H210" s="4" t="s">
        <v>15</v>
      </c>
      <c r="I210" s="190"/>
      <c r="J210" s="72"/>
    </row>
    <row r="211" spans="1:10" ht="17.25" customHeight="1">
      <c r="A211" s="132"/>
      <c r="B211" s="153"/>
      <c r="C211" s="150"/>
      <c r="D211" s="35"/>
      <c r="E211" s="42"/>
      <c r="F211" s="6">
        <v>32</v>
      </c>
      <c r="G211" s="5"/>
      <c r="H211" s="4" t="s">
        <v>13</v>
      </c>
      <c r="I211" s="190"/>
      <c r="J211" s="72"/>
    </row>
    <row r="212" spans="1:10" ht="17.25" customHeight="1">
      <c r="A212" s="132"/>
      <c r="B212" s="151">
        <v>2015</v>
      </c>
      <c r="C212" s="142">
        <f>SUM(F212:F218)+E213</f>
        <v>124.12706</v>
      </c>
      <c r="D212" s="31"/>
      <c r="E212" s="42"/>
      <c r="F212" s="22">
        <v>14.22726</v>
      </c>
      <c r="G212" s="5"/>
      <c r="H212" s="4" t="s">
        <v>9</v>
      </c>
      <c r="I212" s="190"/>
      <c r="J212" s="72"/>
    </row>
    <row r="213" spans="1:10" ht="17.25" customHeight="1">
      <c r="A213" s="132"/>
      <c r="B213" s="152"/>
      <c r="C213" s="143"/>
      <c r="D213" s="34"/>
      <c r="E213" s="42"/>
      <c r="F213" s="22">
        <v>19.9998</v>
      </c>
      <c r="G213" s="5"/>
      <c r="H213" s="4" t="s">
        <v>10</v>
      </c>
      <c r="I213" s="190"/>
      <c r="J213" s="72">
        <v>225</v>
      </c>
    </row>
    <row r="214" spans="1:10" ht="17.25" customHeight="1">
      <c r="A214" s="132"/>
      <c r="B214" s="152"/>
      <c r="C214" s="143"/>
      <c r="D214" s="34"/>
      <c r="E214" s="42"/>
      <c r="F214" s="22">
        <f>9.95</f>
        <v>9.95</v>
      </c>
      <c r="G214" s="5"/>
      <c r="H214" s="4" t="s">
        <v>14</v>
      </c>
      <c r="I214" s="190"/>
      <c r="J214" s="72"/>
    </row>
    <row r="215" spans="1:10" ht="17.25" customHeight="1">
      <c r="A215" s="132"/>
      <c r="B215" s="152"/>
      <c r="C215" s="143"/>
      <c r="D215" s="34"/>
      <c r="E215" s="42"/>
      <c r="F215" s="22">
        <v>9.95</v>
      </c>
      <c r="G215" s="5"/>
      <c r="H215" s="4" t="s">
        <v>11</v>
      </c>
      <c r="I215" s="190"/>
      <c r="J215" s="72"/>
    </row>
    <row r="216" spans="1:10" ht="17.25" customHeight="1">
      <c r="A216" s="132"/>
      <c r="B216" s="152"/>
      <c r="C216" s="143"/>
      <c r="D216" s="34"/>
      <c r="E216" s="42"/>
      <c r="F216" s="22">
        <v>26</v>
      </c>
      <c r="G216" s="5"/>
      <c r="H216" s="4" t="s">
        <v>12</v>
      </c>
      <c r="I216" s="190"/>
      <c r="J216" s="72"/>
    </row>
    <row r="217" spans="1:10" ht="17.25" customHeight="1">
      <c r="A217" s="132"/>
      <c r="B217" s="152"/>
      <c r="C217" s="143"/>
      <c r="D217" s="34"/>
      <c r="E217" s="42"/>
      <c r="F217" s="22">
        <v>12</v>
      </c>
      <c r="G217" s="5"/>
      <c r="H217" s="4" t="s">
        <v>15</v>
      </c>
      <c r="I217" s="190"/>
      <c r="J217" s="72"/>
    </row>
    <row r="218" spans="1:10" ht="17.25" customHeight="1">
      <c r="A218" s="132"/>
      <c r="B218" s="153"/>
      <c r="C218" s="144"/>
      <c r="D218" s="35"/>
      <c r="E218" s="42"/>
      <c r="F218" s="22">
        <v>32</v>
      </c>
      <c r="G218" s="5"/>
      <c r="H218" s="4" t="s">
        <v>13</v>
      </c>
      <c r="I218" s="190"/>
      <c r="J218" s="72"/>
    </row>
    <row r="219" spans="1:10" ht="17.25" customHeight="1">
      <c r="A219" s="132"/>
      <c r="B219" s="151">
        <v>2016</v>
      </c>
      <c r="C219" s="148">
        <f>SUM(F219:F225)</f>
        <v>149.54666</v>
      </c>
      <c r="D219" s="31"/>
      <c r="E219" s="42"/>
      <c r="F219" s="6">
        <v>15</v>
      </c>
      <c r="G219" s="5"/>
      <c r="H219" s="4" t="s">
        <v>9</v>
      </c>
      <c r="I219" s="190"/>
      <c r="J219" s="72"/>
    </row>
    <row r="220" spans="1:10" ht="17.25" customHeight="1">
      <c r="A220" s="132"/>
      <c r="B220" s="152"/>
      <c r="C220" s="149"/>
      <c r="D220" s="34"/>
      <c r="E220" s="42"/>
      <c r="F220" s="6">
        <v>20</v>
      </c>
      <c r="G220" s="5"/>
      <c r="H220" s="4" t="s">
        <v>10</v>
      </c>
      <c r="I220" s="190"/>
      <c r="J220" s="72"/>
    </row>
    <row r="221" spans="1:10" ht="17.25" customHeight="1">
      <c r="A221" s="132"/>
      <c r="B221" s="152"/>
      <c r="C221" s="149"/>
      <c r="D221" s="34"/>
      <c r="E221" s="42"/>
      <c r="F221" s="6">
        <f>10+38.54666</f>
        <v>48.54666</v>
      </c>
      <c r="G221" s="5"/>
      <c r="H221" s="4" t="s">
        <v>14</v>
      </c>
      <c r="I221" s="190"/>
      <c r="J221" s="72"/>
    </row>
    <row r="222" spans="1:10" ht="17.25" customHeight="1">
      <c r="A222" s="132"/>
      <c r="B222" s="152"/>
      <c r="C222" s="149"/>
      <c r="D222" s="34"/>
      <c r="E222" s="42"/>
      <c r="F222" s="6">
        <v>10</v>
      </c>
      <c r="G222" s="5"/>
      <c r="H222" s="4" t="s">
        <v>11</v>
      </c>
      <c r="I222" s="190"/>
      <c r="J222" s="72"/>
    </row>
    <row r="223" spans="1:10" ht="17.25" customHeight="1">
      <c r="A223" s="132"/>
      <c r="B223" s="152"/>
      <c r="C223" s="149"/>
      <c r="D223" s="34"/>
      <c r="E223" s="42"/>
      <c r="F223" s="6">
        <v>28</v>
      </c>
      <c r="G223" s="5"/>
      <c r="H223" s="4" t="s">
        <v>12</v>
      </c>
      <c r="I223" s="190"/>
      <c r="J223" s="72"/>
    </row>
    <row r="224" spans="1:10" ht="17.25" customHeight="1">
      <c r="A224" s="132"/>
      <c r="B224" s="152"/>
      <c r="C224" s="149"/>
      <c r="D224" s="34"/>
      <c r="E224" s="42"/>
      <c r="F224" s="6">
        <v>12</v>
      </c>
      <c r="G224" s="5"/>
      <c r="H224" s="4" t="s">
        <v>15</v>
      </c>
      <c r="I224" s="190"/>
      <c r="J224" s="72"/>
    </row>
    <row r="225" spans="1:10" ht="17.25" customHeight="1">
      <c r="A225" s="133"/>
      <c r="B225" s="153"/>
      <c r="C225" s="150"/>
      <c r="D225" s="35"/>
      <c r="E225" s="42"/>
      <c r="F225" s="6">
        <v>16</v>
      </c>
      <c r="G225" s="5"/>
      <c r="H225" s="4" t="s">
        <v>13</v>
      </c>
      <c r="I225" s="191"/>
      <c r="J225" s="72"/>
    </row>
    <row r="226" spans="1:10" ht="27" customHeight="1">
      <c r="A226" s="131" t="s">
        <v>52</v>
      </c>
      <c r="B226" s="151">
        <v>2014</v>
      </c>
      <c r="C226" s="148">
        <f>F226+E227</f>
        <v>762</v>
      </c>
      <c r="D226" s="148"/>
      <c r="E226" s="38"/>
      <c r="F226" s="6">
        <f>70+12</f>
        <v>82</v>
      </c>
      <c r="G226" s="5"/>
      <c r="H226" s="4" t="s">
        <v>9</v>
      </c>
      <c r="I226" s="14"/>
      <c r="J226" s="72"/>
    </row>
    <row r="227" spans="1:10" ht="163.5" customHeight="1">
      <c r="A227" s="133"/>
      <c r="B227" s="153"/>
      <c r="C227" s="150"/>
      <c r="D227" s="150"/>
      <c r="E227" s="6">
        <v>680</v>
      </c>
      <c r="F227" s="6"/>
      <c r="G227" s="5"/>
      <c r="H227" s="4" t="s">
        <v>44</v>
      </c>
      <c r="I227" s="14"/>
      <c r="J227" s="72"/>
    </row>
    <row r="228" spans="1:10" ht="21" customHeight="1">
      <c r="A228" s="154" t="s">
        <v>54</v>
      </c>
      <c r="B228" s="151">
        <v>2014</v>
      </c>
      <c r="C228" s="148">
        <f>F228+F229</f>
        <v>43</v>
      </c>
      <c r="D228" s="148"/>
      <c r="E228" s="192"/>
      <c r="F228" s="6">
        <v>15</v>
      </c>
      <c r="G228" s="5"/>
      <c r="H228" s="4" t="s">
        <v>55</v>
      </c>
      <c r="I228" s="14"/>
      <c r="J228" s="72"/>
    </row>
    <row r="229" spans="1:10" ht="28.5" customHeight="1">
      <c r="A229" s="155"/>
      <c r="B229" s="153"/>
      <c r="C229" s="150"/>
      <c r="D229" s="150"/>
      <c r="E229" s="193"/>
      <c r="F229" s="6">
        <v>28</v>
      </c>
      <c r="G229" s="5"/>
      <c r="H229" s="4" t="s">
        <v>56</v>
      </c>
      <c r="I229" s="14"/>
      <c r="J229" s="72"/>
    </row>
    <row r="230" spans="1:10" ht="37.5" customHeight="1">
      <c r="A230" s="128" t="s">
        <v>59</v>
      </c>
      <c r="B230" s="151">
        <v>2015</v>
      </c>
      <c r="C230" s="159">
        <f>F230+F231</f>
        <v>61.4206</v>
      </c>
      <c r="D230" s="9"/>
      <c r="E230" s="6"/>
      <c r="F230" s="21">
        <v>61.4206</v>
      </c>
      <c r="G230" s="5"/>
      <c r="H230" s="4" t="s">
        <v>12</v>
      </c>
      <c r="I230" s="14"/>
      <c r="J230" s="72"/>
    </row>
    <row r="231" spans="1:10" ht="33" customHeight="1">
      <c r="A231" s="129"/>
      <c r="B231" s="153"/>
      <c r="C231" s="161"/>
      <c r="D231" s="9"/>
      <c r="E231" s="6"/>
      <c r="F231" s="6">
        <v>0</v>
      </c>
      <c r="G231" s="5"/>
      <c r="H231" s="4" t="s">
        <v>14</v>
      </c>
      <c r="I231" s="14"/>
      <c r="J231" s="72"/>
    </row>
    <row r="232" spans="1:10" ht="33" customHeight="1">
      <c r="A232" s="130"/>
      <c r="B232" s="87">
        <v>2016</v>
      </c>
      <c r="C232" s="118">
        <f>F232</f>
        <v>47.18769</v>
      </c>
      <c r="D232" s="9"/>
      <c r="E232" s="6"/>
      <c r="F232" s="22">
        <f>47.18769</f>
        <v>47.18769</v>
      </c>
      <c r="G232" s="5"/>
      <c r="H232" s="4" t="s">
        <v>12</v>
      </c>
      <c r="I232" s="14"/>
      <c r="J232" s="72"/>
    </row>
    <row r="233" spans="1:10" ht="33" customHeight="1">
      <c r="A233" s="131" t="s">
        <v>86</v>
      </c>
      <c r="B233" s="86">
        <v>2015</v>
      </c>
      <c r="C233" s="31">
        <f>F233+F234</f>
        <v>0</v>
      </c>
      <c r="D233" s="9"/>
      <c r="E233" s="6"/>
      <c r="F233" s="6">
        <v>0</v>
      </c>
      <c r="G233" s="5"/>
      <c r="H233" s="4" t="s">
        <v>12</v>
      </c>
      <c r="I233" s="14"/>
      <c r="J233" s="72"/>
    </row>
    <row r="234" spans="1:10" ht="33" customHeight="1">
      <c r="A234" s="132"/>
      <c r="B234" s="87"/>
      <c r="C234" s="31"/>
      <c r="D234" s="9"/>
      <c r="E234" s="6"/>
      <c r="F234" s="6">
        <v>0</v>
      </c>
      <c r="G234" s="5"/>
      <c r="H234" s="4" t="s">
        <v>14</v>
      </c>
      <c r="I234" s="14"/>
      <c r="J234" s="72"/>
    </row>
    <row r="235" spans="1:10" ht="33" customHeight="1">
      <c r="A235" s="133"/>
      <c r="B235" s="8">
        <v>2016</v>
      </c>
      <c r="C235" s="31">
        <f>F235+F237</f>
        <v>90.275</v>
      </c>
      <c r="D235" s="9"/>
      <c r="E235" s="6"/>
      <c r="F235" s="22">
        <f>57+33.275</f>
        <v>90.275</v>
      </c>
      <c r="G235" s="5"/>
      <c r="H235" s="4" t="s">
        <v>12</v>
      </c>
      <c r="I235" s="14"/>
      <c r="J235" s="72"/>
    </row>
    <row r="236" spans="1:10" ht="22.5" customHeight="1">
      <c r="A236" s="186" t="s">
        <v>77</v>
      </c>
      <c r="B236" s="187"/>
      <c r="C236" s="187"/>
      <c r="D236" s="187"/>
      <c r="E236" s="187"/>
      <c r="F236" s="187"/>
      <c r="G236" s="187"/>
      <c r="H236" s="187"/>
      <c r="I236" s="188"/>
      <c r="J236" s="72"/>
    </row>
    <row r="237" spans="1:10" ht="22.5" customHeight="1">
      <c r="A237" s="176" t="s">
        <v>80</v>
      </c>
      <c r="B237" s="177"/>
      <c r="C237" s="177"/>
      <c r="D237" s="177"/>
      <c r="E237" s="177"/>
      <c r="F237" s="177"/>
      <c r="G237" s="177"/>
      <c r="H237" s="177"/>
      <c r="I237" s="178"/>
      <c r="J237" s="72"/>
    </row>
    <row r="238" spans="1:10" ht="22.5" customHeight="1">
      <c r="A238" s="179" t="s">
        <v>83</v>
      </c>
      <c r="B238" s="180"/>
      <c r="C238" s="180"/>
      <c r="D238" s="180"/>
      <c r="E238" s="180"/>
      <c r="F238" s="180"/>
      <c r="G238" s="180"/>
      <c r="H238" s="180"/>
      <c r="I238" s="181"/>
      <c r="J238" s="72"/>
    </row>
    <row r="239" spans="1:10" ht="18" customHeight="1">
      <c r="A239" s="131" t="s">
        <v>50</v>
      </c>
      <c r="B239" s="151">
        <v>2014</v>
      </c>
      <c r="C239" s="148">
        <f>E239+E240+E241+E242+E243+E244+E245+F239+F240+F241+F242+F243+F244+F245</f>
        <v>543.6680000000001</v>
      </c>
      <c r="D239" s="31"/>
      <c r="E239" s="21">
        <f>21.054-4.584</f>
        <v>16.47</v>
      </c>
      <c r="F239" s="6">
        <f>16.47+22</f>
        <v>38.47</v>
      </c>
      <c r="G239" s="5"/>
      <c r="H239" s="4" t="s">
        <v>9</v>
      </c>
      <c r="I239" s="145" t="s">
        <v>34</v>
      </c>
      <c r="J239" s="72"/>
    </row>
    <row r="240" spans="1:10" ht="18" customHeight="1">
      <c r="A240" s="132"/>
      <c r="B240" s="152"/>
      <c r="C240" s="149"/>
      <c r="D240" s="34"/>
      <c r="E240" s="21">
        <v>21.054</v>
      </c>
      <c r="F240" s="6">
        <f>16.47+3.162</f>
        <v>19.631999999999998</v>
      </c>
      <c r="G240" s="5"/>
      <c r="H240" s="4" t="s">
        <v>10</v>
      </c>
      <c r="I240" s="146"/>
      <c r="J240" s="72"/>
    </row>
    <row r="241" spans="1:10" ht="18" customHeight="1">
      <c r="A241" s="132"/>
      <c r="B241" s="152"/>
      <c r="C241" s="149"/>
      <c r="D241" s="34"/>
      <c r="E241" s="21">
        <f>20.55-4.08</f>
        <v>16.47</v>
      </c>
      <c r="F241" s="6">
        <v>19.084</v>
      </c>
      <c r="G241" s="5"/>
      <c r="H241" s="4" t="s">
        <v>14</v>
      </c>
      <c r="I241" s="146"/>
      <c r="J241" s="72"/>
    </row>
    <row r="242" spans="1:10" ht="18" customHeight="1">
      <c r="A242" s="132"/>
      <c r="B242" s="152"/>
      <c r="C242" s="149"/>
      <c r="D242" s="34"/>
      <c r="E242" s="21">
        <v>16.834</v>
      </c>
      <c r="F242" s="6">
        <v>16.47</v>
      </c>
      <c r="G242" s="5"/>
      <c r="H242" s="4" t="s">
        <v>11</v>
      </c>
      <c r="I242" s="146"/>
      <c r="J242" s="72"/>
    </row>
    <row r="243" spans="1:10" ht="18" customHeight="1">
      <c r="A243" s="132"/>
      <c r="B243" s="152"/>
      <c r="C243" s="149"/>
      <c r="D243" s="34"/>
      <c r="E243" s="21">
        <f>16.834-0.364</f>
        <v>16.47</v>
      </c>
      <c r="F243" s="6">
        <v>16.47</v>
      </c>
      <c r="G243" s="5"/>
      <c r="H243" s="4" t="s">
        <v>12</v>
      </c>
      <c r="I243" s="146"/>
      <c r="J243" s="72"/>
    </row>
    <row r="244" spans="1:10" ht="18" customHeight="1">
      <c r="A244" s="132"/>
      <c r="B244" s="152"/>
      <c r="C244" s="149"/>
      <c r="D244" s="34"/>
      <c r="E244" s="21">
        <f>16.834-0.364</f>
        <v>16.47</v>
      </c>
      <c r="F244" s="6">
        <v>16.47</v>
      </c>
      <c r="G244" s="5"/>
      <c r="H244" s="4" t="s">
        <v>15</v>
      </c>
      <c r="I244" s="146"/>
      <c r="J244" s="72"/>
    </row>
    <row r="245" spans="1:10" ht="18" customHeight="1">
      <c r="A245" s="132"/>
      <c r="B245" s="153"/>
      <c r="C245" s="150"/>
      <c r="D245" s="35"/>
      <c r="E245" s="21">
        <f>162.738-7.00268-6.71332</f>
        <v>149.022</v>
      </c>
      <c r="F245" s="22">
        <v>164.282</v>
      </c>
      <c r="G245" s="5"/>
      <c r="H245" s="4" t="s">
        <v>13</v>
      </c>
      <c r="I245" s="146"/>
      <c r="J245" s="72">
        <v>226</v>
      </c>
    </row>
    <row r="246" spans="1:10" ht="18" customHeight="1">
      <c r="A246" s="132"/>
      <c r="B246" s="151">
        <v>2015</v>
      </c>
      <c r="C246" s="142">
        <f>SUM(F246:F252)</f>
        <v>574.159</v>
      </c>
      <c r="D246" s="31"/>
      <c r="E246" s="42"/>
      <c r="F246" s="22">
        <v>34.7772</v>
      </c>
      <c r="G246" s="5"/>
      <c r="H246" s="4" t="s">
        <v>9</v>
      </c>
      <c r="I246" s="146"/>
      <c r="J246" s="72"/>
    </row>
    <row r="247" spans="1:10" ht="18" customHeight="1">
      <c r="A247" s="132"/>
      <c r="B247" s="152"/>
      <c r="C247" s="143"/>
      <c r="D247" s="34"/>
      <c r="E247" s="42"/>
      <c r="F247" s="22">
        <v>34.7772</v>
      </c>
      <c r="G247" s="5"/>
      <c r="H247" s="4" t="s">
        <v>10</v>
      </c>
      <c r="I247" s="146"/>
      <c r="J247" s="72"/>
    </row>
    <row r="248" spans="1:10" ht="18" customHeight="1">
      <c r="A248" s="132"/>
      <c r="B248" s="152"/>
      <c r="C248" s="143"/>
      <c r="D248" s="34"/>
      <c r="E248" s="42"/>
      <c r="F248" s="22">
        <v>34.785</v>
      </c>
      <c r="G248" s="5"/>
      <c r="H248" s="4" t="s">
        <v>14</v>
      </c>
      <c r="I248" s="146"/>
      <c r="J248" s="72"/>
    </row>
    <row r="249" spans="1:10" ht="18" customHeight="1">
      <c r="A249" s="132"/>
      <c r="B249" s="152"/>
      <c r="C249" s="143"/>
      <c r="D249" s="34"/>
      <c r="E249" s="42"/>
      <c r="F249" s="22">
        <v>34.7772</v>
      </c>
      <c r="G249" s="5"/>
      <c r="H249" s="4" t="s">
        <v>11</v>
      </c>
      <c r="I249" s="146"/>
      <c r="J249" s="72"/>
    </row>
    <row r="250" spans="1:10" ht="18" customHeight="1">
      <c r="A250" s="132"/>
      <c r="B250" s="152"/>
      <c r="C250" s="143"/>
      <c r="D250" s="34"/>
      <c r="E250" s="42"/>
      <c r="F250" s="22">
        <v>34.7772</v>
      </c>
      <c r="G250" s="5"/>
      <c r="H250" s="4" t="s">
        <v>12</v>
      </c>
      <c r="I250" s="146"/>
      <c r="J250" s="72"/>
    </row>
    <row r="251" spans="1:10" ht="18" customHeight="1">
      <c r="A251" s="132"/>
      <c r="B251" s="152"/>
      <c r="C251" s="143"/>
      <c r="D251" s="34"/>
      <c r="E251" s="42"/>
      <c r="F251" s="22">
        <v>34.7772</v>
      </c>
      <c r="G251" s="5"/>
      <c r="H251" s="4" t="s">
        <v>15</v>
      </c>
      <c r="I251" s="146"/>
      <c r="J251" s="72"/>
    </row>
    <row r="252" spans="1:10" ht="18" customHeight="1">
      <c r="A252" s="132"/>
      <c r="B252" s="153"/>
      <c r="C252" s="144"/>
      <c r="D252" s="35"/>
      <c r="E252" s="42"/>
      <c r="F252" s="22">
        <v>365.488</v>
      </c>
      <c r="G252" s="5"/>
      <c r="H252" s="4" t="s">
        <v>13</v>
      </c>
      <c r="I252" s="146"/>
      <c r="J252" s="72"/>
    </row>
    <row r="253" spans="1:10" ht="18" customHeight="1">
      <c r="A253" s="132"/>
      <c r="B253" s="151">
        <v>2016</v>
      </c>
      <c r="C253" s="148">
        <f>SUM(F253:F259)</f>
        <v>511.04158</v>
      </c>
      <c r="D253" s="31"/>
      <c r="E253" s="42"/>
      <c r="F253" s="6">
        <v>37.524</v>
      </c>
      <c r="G253" s="5"/>
      <c r="H253" s="4" t="s">
        <v>9</v>
      </c>
      <c r="I253" s="146"/>
      <c r="J253" s="72"/>
    </row>
    <row r="254" spans="1:10" ht="18" customHeight="1">
      <c r="A254" s="132"/>
      <c r="B254" s="152"/>
      <c r="C254" s="149"/>
      <c r="D254" s="34"/>
      <c r="E254" s="42"/>
      <c r="F254" s="6">
        <v>37.524</v>
      </c>
      <c r="G254" s="5"/>
      <c r="H254" s="4" t="s">
        <v>10</v>
      </c>
      <c r="I254" s="146"/>
      <c r="J254" s="72"/>
    </row>
    <row r="255" spans="1:10" ht="18" customHeight="1">
      <c r="A255" s="132"/>
      <c r="B255" s="152"/>
      <c r="C255" s="149"/>
      <c r="D255" s="34"/>
      <c r="E255" s="42"/>
      <c r="F255" s="21">
        <f>39.634+2.8981</f>
        <v>42.5321</v>
      </c>
      <c r="G255" s="5"/>
      <c r="H255" s="4" t="s">
        <v>14</v>
      </c>
      <c r="I255" s="146"/>
      <c r="J255" s="72"/>
    </row>
    <row r="256" spans="1:10" ht="18" customHeight="1">
      <c r="A256" s="132"/>
      <c r="B256" s="152"/>
      <c r="C256" s="149"/>
      <c r="D256" s="34"/>
      <c r="E256" s="42"/>
      <c r="F256" s="22">
        <f>33.304+3.36576+0.39872</f>
        <v>37.06848</v>
      </c>
      <c r="G256" s="5"/>
      <c r="H256" s="4" t="s">
        <v>11</v>
      </c>
      <c r="I256" s="146"/>
      <c r="J256" s="72"/>
    </row>
    <row r="257" spans="1:10" ht="18" customHeight="1">
      <c r="A257" s="132"/>
      <c r="B257" s="152"/>
      <c r="C257" s="149"/>
      <c r="D257" s="34"/>
      <c r="E257" s="42"/>
      <c r="F257" s="6">
        <v>33.304</v>
      </c>
      <c r="G257" s="5"/>
      <c r="H257" s="4" t="s">
        <v>12</v>
      </c>
      <c r="I257" s="146"/>
      <c r="J257" s="72"/>
    </row>
    <row r="258" spans="1:10" ht="18" customHeight="1">
      <c r="A258" s="132"/>
      <c r="B258" s="152"/>
      <c r="C258" s="149"/>
      <c r="D258" s="34"/>
      <c r="E258" s="42"/>
      <c r="F258" s="21">
        <f>33.304+3.765</f>
        <v>37.069</v>
      </c>
      <c r="G258" s="5"/>
      <c r="H258" s="4" t="s">
        <v>15</v>
      </c>
      <c r="I258" s="146"/>
      <c r="J258" s="72"/>
    </row>
    <row r="259" spans="1:10" ht="18" customHeight="1">
      <c r="A259" s="133"/>
      <c r="B259" s="153"/>
      <c r="C259" s="150"/>
      <c r="D259" s="35"/>
      <c r="E259" s="42"/>
      <c r="F259" s="6">
        <f>67.02+260-41</f>
        <v>286.02</v>
      </c>
      <c r="G259" s="5"/>
      <c r="H259" s="4" t="s">
        <v>13</v>
      </c>
      <c r="I259" s="147"/>
      <c r="J259" s="72"/>
    </row>
    <row r="260" spans="1:10" ht="18" customHeight="1">
      <c r="A260" s="131" t="s">
        <v>51</v>
      </c>
      <c r="B260" s="151">
        <v>2014</v>
      </c>
      <c r="C260" s="148">
        <f>F260+F261+F262+F263+F264+F265+E260+E261+E262+E263+E264+E265</f>
        <v>71.32502</v>
      </c>
      <c r="D260" s="31"/>
      <c r="E260" s="48"/>
      <c r="F260" s="6">
        <v>12</v>
      </c>
      <c r="G260" s="5"/>
      <c r="H260" s="4" t="s">
        <v>9</v>
      </c>
      <c r="I260" s="189"/>
      <c r="J260" s="72"/>
    </row>
    <row r="261" spans="1:10" ht="18" customHeight="1">
      <c r="A261" s="132"/>
      <c r="B261" s="152"/>
      <c r="C261" s="149"/>
      <c r="D261" s="34"/>
      <c r="E261" s="21">
        <f>19-1.99498</f>
        <v>17.005020000000002</v>
      </c>
      <c r="F261" s="6">
        <v>0</v>
      </c>
      <c r="G261" s="5"/>
      <c r="H261" s="4" t="s">
        <v>10</v>
      </c>
      <c r="I261" s="190"/>
      <c r="J261" s="72"/>
    </row>
    <row r="262" spans="1:10" ht="18" customHeight="1">
      <c r="A262" s="132"/>
      <c r="B262" s="152"/>
      <c r="C262" s="149"/>
      <c r="D262" s="34"/>
      <c r="E262" s="21">
        <f>21.5-7.68</f>
        <v>13.82</v>
      </c>
      <c r="F262" s="6">
        <v>0</v>
      </c>
      <c r="G262" s="5"/>
      <c r="H262" s="4" t="s">
        <v>16</v>
      </c>
      <c r="I262" s="190"/>
      <c r="J262" s="72"/>
    </row>
    <row r="263" spans="1:10" ht="18" customHeight="1">
      <c r="A263" s="132"/>
      <c r="B263" s="152"/>
      <c r="C263" s="149"/>
      <c r="D263" s="34"/>
      <c r="E263" s="21"/>
      <c r="F263" s="6">
        <v>15</v>
      </c>
      <c r="G263" s="5"/>
      <c r="H263" s="4" t="s">
        <v>11</v>
      </c>
      <c r="I263" s="190"/>
      <c r="J263" s="72"/>
    </row>
    <row r="264" spans="1:10" s="11" customFormat="1" ht="18" customHeight="1">
      <c r="A264" s="132"/>
      <c r="B264" s="152"/>
      <c r="C264" s="149"/>
      <c r="D264" s="34"/>
      <c r="E264" s="21">
        <f>23.5-10</f>
        <v>13.5</v>
      </c>
      <c r="F264" s="6">
        <v>0</v>
      </c>
      <c r="G264" s="5"/>
      <c r="H264" s="4" t="s">
        <v>15</v>
      </c>
      <c r="I264" s="191"/>
      <c r="J264" s="72">
        <v>225</v>
      </c>
    </row>
    <row r="265" spans="1:10" s="11" customFormat="1" ht="18" customHeight="1">
      <c r="A265" s="132"/>
      <c r="B265" s="153"/>
      <c r="C265" s="150"/>
      <c r="D265" s="35"/>
      <c r="E265" s="21">
        <v>0</v>
      </c>
      <c r="F265" s="6">
        <v>0</v>
      </c>
      <c r="G265" s="5"/>
      <c r="H265" s="4" t="s">
        <v>13</v>
      </c>
      <c r="I265" s="14"/>
      <c r="J265" s="73"/>
    </row>
    <row r="266" spans="1:10" s="11" customFormat="1" ht="18" customHeight="1">
      <c r="A266" s="132"/>
      <c r="B266" s="151">
        <v>2015</v>
      </c>
      <c r="C266" s="142">
        <f>SUM(F266:F271)</f>
        <v>223.94369</v>
      </c>
      <c r="D266" s="31"/>
      <c r="E266" s="44"/>
      <c r="F266" s="22">
        <v>11.44164</v>
      </c>
      <c r="G266" s="5"/>
      <c r="H266" s="4" t="s">
        <v>9</v>
      </c>
      <c r="I266" s="14"/>
      <c r="J266" s="73"/>
    </row>
    <row r="267" spans="1:10" s="11" customFormat="1" ht="18" customHeight="1">
      <c r="A267" s="132"/>
      <c r="B267" s="152"/>
      <c r="C267" s="143"/>
      <c r="D267" s="34"/>
      <c r="E267" s="44"/>
      <c r="F267" s="22">
        <v>19</v>
      </c>
      <c r="G267" s="5"/>
      <c r="H267" s="4" t="s">
        <v>10</v>
      </c>
      <c r="I267" s="14"/>
      <c r="J267" s="73"/>
    </row>
    <row r="268" spans="1:10" s="11" customFormat="1" ht="18" customHeight="1">
      <c r="A268" s="132"/>
      <c r="B268" s="152"/>
      <c r="C268" s="143"/>
      <c r="D268" s="34"/>
      <c r="E268" s="44"/>
      <c r="F268" s="74">
        <f>16+10.4+0.214+5+10+4</f>
        <v>45.614</v>
      </c>
      <c r="G268" s="5"/>
      <c r="H268" s="4" t="s">
        <v>16</v>
      </c>
      <c r="I268" s="14"/>
      <c r="J268" s="73"/>
    </row>
    <row r="269" spans="1:10" s="11" customFormat="1" ht="18" customHeight="1">
      <c r="A269" s="132"/>
      <c r="B269" s="152"/>
      <c r="C269" s="143"/>
      <c r="D269" s="34"/>
      <c r="E269" s="44"/>
      <c r="F269" s="74">
        <f>11.442+100-0.04263</f>
        <v>111.39937</v>
      </c>
      <c r="G269" s="5"/>
      <c r="H269" s="4" t="s">
        <v>11</v>
      </c>
      <c r="I269" s="14"/>
      <c r="J269" s="73"/>
    </row>
    <row r="270" spans="1:10" s="11" customFormat="1" ht="18" customHeight="1">
      <c r="A270" s="132"/>
      <c r="B270" s="152"/>
      <c r="C270" s="143"/>
      <c r="D270" s="34"/>
      <c r="E270" s="44"/>
      <c r="F270" s="22">
        <f>23.5-2.01132</f>
        <v>21.48868</v>
      </c>
      <c r="G270" s="5"/>
      <c r="H270" s="4" t="s">
        <v>15</v>
      </c>
      <c r="I270" s="14"/>
      <c r="J270" s="73"/>
    </row>
    <row r="271" spans="1:10" s="11" customFormat="1" ht="18" customHeight="1">
      <c r="A271" s="132"/>
      <c r="B271" s="153"/>
      <c r="C271" s="144"/>
      <c r="D271" s="35"/>
      <c r="E271" s="44"/>
      <c r="F271" s="22">
        <v>15</v>
      </c>
      <c r="G271" s="5"/>
      <c r="H271" s="4" t="s">
        <v>13</v>
      </c>
      <c r="I271" s="14"/>
      <c r="J271" s="73"/>
    </row>
    <row r="272" spans="1:10" s="11" customFormat="1" ht="18" customHeight="1">
      <c r="A272" s="132"/>
      <c r="B272" s="151">
        <v>2016</v>
      </c>
      <c r="C272" s="142">
        <f>SUM(F272:F277)</f>
        <v>280.14897</v>
      </c>
      <c r="D272" s="31"/>
      <c r="E272" s="44"/>
      <c r="F272" s="6">
        <v>12</v>
      </c>
      <c r="G272" s="5"/>
      <c r="H272" s="4" t="s">
        <v>9</v>
      </c>
      <c r="I272" s="14"/>
      <c r="J272" s="73"/>
    </row>
    <row r="273" spans="1:10" s="11" customFormat="1" ht="18" customHeight="1">
      <c r="A273" s="132"/>
      <c r="B273" s="152"/>
      <c r="C273" s="143"/>
      <c r="D273" s="34"/>
      <c r="E273" s="44"/>
      <c r="F273" s="6">
        <f>19-1.192</f>
        <v>17.808</v>
      </c>
      <c r="G273" s="5"/>
      <c r="H273" s="4" t="s">
        <v>10</v>
      </c>
      <c r="I273" s="14"/>
      <c r="J273" s="73"/>
    </row>
    <row r="274" spans="1:10" s="11" customFormat="1" ht="18" customHeight="1">
      <c r="A274" s="132"/>
      <c r="B274" s="152"/>
      <c r="C274" s="143"/>
      <c r="D274" s="34"/>
      <c r="E274" s="44"/>
      <c r="F274" s="6">
        <f>21.5+7.54</f>
        <v>29.04</v>
      </c>
      <c r="G274" s="5"/>
      <c r="H274" s="4" t="s">
        <v>16</v>
      </c>
      <c r="I274" s="14"/>
      <c r="J274" s="73"/>
    </row>
    <row r="275" spans="1:10" s="11" customFormat="1" ht="18" customHeight="1">
      <c r="A275" s="132"/>
      <c r="B275" s="152"/>
      <c r="C275" s="143"/>
      <c r="D275" s="34"/>
      <c r="E275" s="44"/>
      <c r="F275" s="22">
        <f>15-3.36576</f>
        <v>11.63424</v>
      </c>
      <c r="G275" s="5"/>
      <c r="H275" s="4" t="s">
        <v>11</v>
      </c>
      <c r="I275" s="14"/>
      <c r="J275" s="73"/>
    </row>
    <row r="276" spans="1:10" s="11" customFormat="1" ht="18" customHeight="1">
      <c r="A276" s="132"/>
      <c r="B276" s="152"/>
      <c r="C276" s="143"/>
      <c r="D276" s="34"/>
      <c r="E276" s="44"/>
      <c r="F276" s="6">
        <f>23.5-10-12</f>
        <v>1.5</v>
      </c>
      <c r="G276" s="5"/>
      <c r="H276" s="4" t="s">
        <v>15</v>
      </c>
      <c r="I276" s="14"/>
      <c r="J276" s="73"/>
    </row>
    <row r="277" spans="1:10" s="11" customFormat="1" ht="18" customHeight="1">
      <c r="A277" s="133"/>
      <c r="B277" s="153"/>
      <c r="C277" s="144"/>
      <c r="D277" s="35"/>
      <c r="E277" s="44"/>
      <c r="F277" s="22">
        <v>208.16673</v>
      </c>
      <c r="G277" s="5"/>
      <c r="H277" s="4" t="s">
        <v>13</v>
      </c>
      <c r="I277" s="14"/>
      <c r="J277" s="73"/>
    </row>
    <row r="278" spans="1:10" s="11" customFormat="1" ht="18.75" customHeight="1">
      <c r="A278" s="131" t="s">
        <v>57</v>
      </c>
      <c r="B278" s="157">
        <v>2014</v>
      </c>
      <c r="C278" s="158">
        <f>E278+E279+E280+E281+F278+F279+F280+F281</f>
        <v>309.271</v>
      </c>
      <c r="D278" s="148"/>
      <c r="E278" s="6">
        <v>0</v>
      </c>
      <c r="F278" s="6">
        <v>18.25</v>
      </c>
      <c r="G278" s="5"/>
      <c r="H278" s="4" t="s">
        <v>9</v>
      </c>
      <c r="I278" s="81"/>
      <c r="J278" s="73"/>
    </row>
    <row r="279" spans="1:10" s="11" customFormat="1" ht="18.75" customHeight="1">
      <c r="A279" s="132"/>
      <c r="B279" s="157"/>
      <c r="C279" s="158"/>
      <c r="D279" s="149"/>
      <c r="E279" s="6">
        <f>18.25+18.215+228</f>
        <v>264.46500000000003</v>
      </c>
      <c r="F279" s="6">
        <v>0</v>
      </c>
      <c r="G279" s="5"/>
      <c r="H279" s="4" t="s">
        <v>10</v>
      </c>
      <c r="I279" s="82"/>
      <c r="J279" s="73"/>
    </row>
    <row r="280" spans="1:10" s="11" customFormat="1" ht="19.5" customHeight="1">
      <c r="A280" s="132"/>
      <c r="B280" s="157"/>
      <c r="C280" s="158"/>
      <c r="D280" s="149"/>
      <c r="E280" s="6">
        <v>0</v>
      </c>
      <c r="F280" s="6">
        <v>0</v>
      </c>
      <c r="G280" s="5"/>
      <c r="H280" s="4" t="s">
        <v>17</v>
      </c>
      <c r="I280" s="82"/>
      <c r="J280" s="73"/>
    </row>
    <row r="281" spans="1:10" s="11" customFormat="1" ht="19.5" customHeight="1">
      <c r="A281" s="132"/>
      <c r="B281" s="157"/>
      <c r="C281" s="158"/>
      <c r="D281" s="150"/>
      <c r="E281" s="6">
        <f>50-23.444</f>
        <v>26.556</v>
      </c>
      <c r="F281" s="6">
        <v>0</v>
      </c>
      <c r="G281" s="5"/>
      <c r="H281" s="4" t="s">
        <v>15</v>
      </c>
      <c r="I281" s="82"/>
      <c r="J281" s="73"/>
    </row>
    <row r="282" spans="1:10" s="11" customFormat="1" ht="48" customHeight="1">
      <c r="A282" s="132"/>
      <c r="B282" s="151">
        <v>2015</v>
      </c>
      <c r="C282" s="159">
        <f>F282+F283+F284</f>
        <v>537.687</v>
      </c>
      <c r="D282" s="31"/>
      <c r="E282" s="44"/>
      <c r="F282" s="6">
        <f>90+100-15.573</f>
        <v>174.427</v>
      </c>
      <c r="G282" s="5"/>
      <c r="H282" s="4" t="s">
        <v>9</v>
      </c>
      <c r="I282" s="82"/>
      <c r="J282" s="73"/>
    </row>
    <row r="283" spans="1:10" s="11" customFormat="1" ht="51.75" customHeight="1">
      <c r="A283" s="132"/>
      <c r="B283" s="152"/>
      <c r="C283" s="160"/>
      <c r="D283" s="31"/>
      <c r="E283" s="44"/>
      <c r="F283" s="6">
        <f>25+317.44</f>
        <v>342.44</v>
      </c>
      <c r="G283" s="5"/>
      <c r="H283" s="4" t="s">
        <v>10</v>
      </c>
      <c r="I283" s="82"/>
      <c r="J283" s="72">
        <v>226</v>
      </c>
    </row>
    <row r="284" spans="1:10" s="11" customFormat="1" ht="51.75" customHeight="1">
      <c r="A284" s="132"/>
      <c r="B284" s="153"/>
      <c r="C284" s="161"/>
      <c r="D284" s="31"/>
      <c r="E284" s="44"/>
      <c r="F284" s="6">
        <v>20.82</v>
      </c>
      <c r="G284" s="5"/>
      <c r="H284" s="4" t="s">
        <v>17</v>
      </c>
      <c r="I284" s="82"/>
      <c r="J284" s="73"/>
    </row>
    <row r="285" spans="1:10" s="11" customFormat="1" ht="38.25" customHeight="1">
      <c r="A285" s="132"/>
      <c r="B285" s="151">
        <v>2016</v>
      </c>
      <c r="C285" s="142">
        <f>F285+F286+F287+F288+F289+F290+F291</f>
        <v>1197.94735</v>
      </c>
      <c r="D285" s="9"/>
      <c r="E285" s="44"/>
      <c r="F285" s="6">
        <f>90-29.68</f>
        <v>60.32</v>
      </c>
      <c r="G285" s="5"/>
      <c r="H285" s="4" t="s">
        <v>9</v>
      </c>
      <c r="I285" s="82"/>
      <c r="J285" s="73"/>
    </row>
    <row r="286" spans="1:10" s="11" customFormat="1" ht="43.5" customHeight="1">
      <c r="A286" s="132"/>
      <c r="B286" s="152"/>
      <c r="C286" s="143"/>
      <c r="D286" s="9"/>
      <c r="E286" s="44"/>
      <c r="F286" s="6">
        <f>150</f>
        <v>150</v>
      </c>
      <c r="G286" s="5"/>
      <c r="H286" s="4" t="s">
        <v>10</v>
      </c>
      <c r="I286" s="82"/>
      <c r="J286" s="73"/>
    </row>
    <row r="287" spans="1:10" s="11" customFormat="1" ht="48.75" customHeight="1">
      <c r="A287" s="132"/>
      <c r="B287" s="152"/>
      <c r="C287" s="143"/>
      <c r="D287" s="9"/>
      <c r="E287" s="44"/>
      <c r="F287" s="6">
        <f>40+45+50</f>
        <v>135</v>
      </c>
      <c r="G287" s="5"/>
      <c r="H287" s="4" t="s">
        <v>16</v>
      </c>
      <c r="I287" s="82"/>
      <c r="J287" s="73"/>
    </row>
    <row r="288" spans="1:10" s="11" customFormat="1" ht="48.75" customHeight="1">
      <c r="A288" s="132"/>
      <c r="B288" s="152"/>
      <c r="C288" s="143"/>
      <c r="D288" s="9"/>
      <c r="E288" s="44"/>
      <c r="F288" s="22">
        <f>50+30+37.602+100-41.97465</f>
        <v>175.62735</v>
      </c>
      <c r="G288" s="5"/>
      <c r="H288" s="4" t="s">
        <v>85</v>
      </c>
      <c r="I288" s="82"/>
      <c r="J288" s="73"/>
    </row>
    <row r="289" spans="1:10" s="11" customFormat="1" ht="48.75" customHeight="1">
      <c r="A289" s="132"/>
      <c r="B289" s="152"/>
      <c r="C289" s="143"/>
      <c r="D289" s="31"/>
      <c r="E289" s="89"/>
      <c r="F289" s="88">
        <f>111+50+50+100</f>
        <v>311</v>
      </c>
      <c r="G289" s="90"/>
      <c r="H289" s="4" t="s">
        <v>17</v>
      </c>
      <c r="I289" s="82"/>
      <c r="J289" s="73"/>
    </row>
    <row r="290" spans="1:10" s="11" customFormat="1" ht="48.75" customHeight="1">
      <c r="A290" s="132"/>
      <c r="B290" s="152"/>
      <c r="C290" s="143"/>
      <c r="D290" s="9"/>
      <c r="E290" s="44"/>
      <c r="F290" s="6">
        <v>160</v>
      </c>
      <c r="G290" s="5"/>
      <c r="H290" s="4" t="s">
        <v>15</v>
      </c>
      <c r="I290" s="82"/>
      <c r="J290" s="73"/>
    </row>
    <row r="291" spans="1:10" s="11" customFormat="1" ht="51" customHeight="1">
      <c r="A291" s="133"/>
      <c r="B291" s="153"/>
      <c r="C291" s="144"/>
      <c r="D291" s="9"/>
      <c r="E291" s="44"/>
      <c r="F291" s="6">
        <f>100+106</f>
        <v>206</v>
      </c>
      <c r="G291" s="5"/>
      <c r="H291" s="4" t="s">
        <v>23</v>
      </c>
      <c r="I291" s="82"/>
      <c r="J291" s="73"/>
    </row>
    <row r="292" spans="1:10" s="11" customFormat="1" ht="39.75" customHeight="1">
      <c r="A292" s="131" t="s">
        <v>88</v>
      </c>
      <c r="B292" s="151">
        <v>2014</v>
      </c>
      <c r="C292" s="148">
        <f>F292+F293</f>
        <v>216</v>
      </c>
      <c r="D292" s="9"/>
      <c r="E292" s="44"/>
      <c r="F292" s="6">
        <v>116</v>
      </c>
      <c r="G292" s="5"/>
      <c r="H292" s="4" t="s">
        <v>10</v>
      </c>
      <c r="I292" s="82"/>
      <c r="J292" s="73"/>
    </row>
    <row r="293" spans="1:10" s="11" customFormat="1" ht="39.75" customHeight="1">
      <c r="A293" s="132"/>
      <c r="B293" s="153"/>
      <c r="C293" s="150"/>
      <c r="D293" s="9"/>
      <c r="E293" s="44"/>
      <c r="F293" s="6">
        <v>100</v>
      </c>
      <c r="G293" s="5"/>
      <c r="H293" s="4" t="s">
        <v>17</v>
      </c>
      <c r="I293" s="82"/>
      <c r="J293" s="73"/>
    </row>
    <row r="294" spans="1:10" s="11" customFormat="1" ht="66" customHeight="1">
      <c r="A294" s="133"/>
      <c r="B294" s="53">
        <v>2016</v>
      </c>
      <c r="C294" s="35">
        <f>F294</f>
        <v>180</v>
      </c>
      <c r="D294" s="9"/>
      <c r="E294" s="44"/>
      <c r="F294" s="6">
        <v>180</v>
      </c>
      <c r="G294" s="5"/>
      <c r="H294" s="4" t="s">
        <v>10</v>
      </c>
      <c r="I294" s="82"/>
      <c r="J294" s="73"/>
    </row>
    <row r="295" spans="1:10" s="11" customFormat="1" ht="144.75" customHeight="1">
      <c r="A295" s="54" t="s">
        <v>68</v>
      </c>
      <c r="B295" s="53">
        <v>2015</v>
      </c>
      <c r="C295" s="35">
        <f>E295+F295</f>
        <v>239.3</v>
      </c>
      <c r="D295" s="9"/>
      <c r="E295" s="38">
        <v>239.3</v>
      </c>
      <c r="F295" s="6">
        <v>0</v>
      </c>
      <c r="G295" s="5"/>
      <c r="H295" s="4" t="s">
        <v>10</v>
      </c>
      <c r="I295" s="83"/>
      <c r="J295" s="73"/>
    </row>
    <row r="296" spans="1:10" ht="20.25">
      <c r="A296" s="186" t="s">
        <v>87</v>
      </c>
      <c r="B296" s="187"/>
      <c r="C296" s="187"/>
      <c r="D296" s="187"/>
      <c r="E296" s="187"/>
      <c r="F296" s="187"/>
      <c r="G296" s="187"/>
      <c r="H296" s="187"/>
      <c r="I296" s="188"/>
      <c r="J296" s="72"/>
    </row>
    <row r="297" spans="1:10" ht="15.75" customHeight="1">
      <c r="A297" s="176" t="s">
        <v>79</v>
      </c>
      <c r="B297" s="177"/>
      <c r="C297" s="177"/>
      <c r="D297" s="177"/>
      <c r="E297" s="177"/>
      <c r="F297" s="177"/>
      <c r="G297" s="177"/>
      <c r="H297" s="177"/>
      <c r="I297" s="178"/>
      <c r="J297" s="72"/>
    </row>
    <row r="298" spans="1:10" ht="18">
      <c r="A298" s="179" t="s">
        <v>84</v>
      </c>
      <c r="B298" s="180"/>
      <c r="C298" s="180"/>
      <c r="D298" s="180"/>
      <c r="E298" s="180"/>
      <c r="F298" s="180"/>
      <c r="G298" s="180"/>
      <c r="H298" s="180"/>
      <c r="I298" s="181"/>
      <c r="J298" s="72"/>
    </row>
    <row r="299" spans="1:11" ht="15.75" customHeight="1">
      <c r="A299" s="131" t="s">
        <v>38</v>
      </c>
      <c r="B299" s="157">
        <v>2014</v>
      </c>
      <c r="C299" s="158">
        <f>SUM(F299:F305)</f>
        <v>1581.1699999999996</v>
      </c>
      <c r="D299" s="9"/>
      <c r="E299" s="38"/>
      <c r="F299" s="6">
        <f>259.98-70-2</f>
        <v>187.98000000000002</v>
      </c>
      <c r="G299" s="16"/>
      <c r="H299" s="4" t="s">
        <v>9</v>
      </c>
      <c r="I299" s="173" t="s">
        <v>24</v>
      </c>
      <c r="J299" s="72"/>
      <c r="K299" s="32"/>
    </row>
    <row r="300" spans="1:11" ht="15.75" customHeight="1">
      <c r="A300" s="132"/>
      <c r="B300" s="157"/>
      <c r="C300" s="158"/>
      <c r="D300" s="9"/>
      <c r="E300" s="38"/>
      <c r="F300" s="6">
        <f>375.06-18.25-8.8-55+2</f>
        <v>295.01</v>
      </c>
      <c r="G300" s="16"/>
      <c r="H300" s="4" t="s">
        <v>10</v>
      </c>
      <c r="I300" s="174"/>
      <c r="J300" s="72"/>
      <c r="K300" s="33"/>
    </row>
    <row r="301" spans="1:11" ht="15.75" customHeight="1">
      <c r="A301" s="132"/>
      <c r="B301" s="157"/>
      <c r="C301" s="158"/>
      <c r="D301" s="9"/>
      <c r="E301" s="38"/>
      <c r="F301" s="6">
        <f>167.48+7.68-26</f>
        <v>149.16</v>
      </c>
      <c r="G301" s="16"/>
      <c r="H301" s="4" t="s">
        <v>19</v>
      </c>
      <c r="I301" s="174"/>
      <c r="J301" s="72"/>
      <c r="K301" s="33"/>
    </row>
    <row r="302" spans="1:11" ht="15.75" customHeight="1">
      <c r="A302" s="132"/>
      <c r="B302" s="157"/>
      <c r="C302" s="158"/>
      <c r="D302" s="9"/>
      <c r="E302" s="38"/>
      <c r="F302" s="6">
        <f>261.2-50</f>
        <v>211.2</v>
      </c>
      <c r="G302" s="16"/>
      <c r="H302" s="4" t="s">
        <v>20</v>
      </c>
      <c r="I302" s="174"/>
      <c r="J302" s="72"/>
      <c r="K302" s="33"/>
    </row>
    <row r="303" spans="1:11" ht="15.75" customHeight="1">
      <c r="A303" s="132"/>
      <c r="B303" s="157"/>
      <c r="C303" s="158"/>
      <c r="D303" s="9"/>
      <c r="E303" s="38"/>
      <c r="F303" s="6">
        <f>565.6-11-22-43-100</f>
        <v>389.6</v>
      </c>
      <c r="G303" s="16"/>
      <c r="H303" s="4" t="s">
        <v>21</v>
      </c>
      <c r="I303" s="174"/>
      <c r="J303" s="72">
        <v>226</v>
      </c>
      <c r="K303" s="33"/>
    </row>
    <row r="304" spans="1:11" ht="15.75" customHeight="1">
      <c r="A304" s="132"/>
      <c r="B304" s="157"/>
      <c r="C304" s="158"/>
      <c r="D304" s="9"/>
      <c r="E304" s="38"/>
      <c r="F304" s="6">
        <f>206.6+10-9.5-19</f>
        <v>188.1</v>
      </c>
      <c r="G304" s="16"/>
      <c r="H304" s="4" t="s">
        <v>22</v>
      </c>
      <c r="I304" s="174"/>
      <c r="J304" s="72"/>
      <c r="K304" s="33"/>
    </row>
    <row r="305" spans="1:11" ht="15.75" customHeight="1">
      <c r="A305" s="132"/>
      <c r="B305" s="157"/>
      <c r="C305" s="158"/>
      <c r="D305" s="9"/>
      <c r="E305" s="38"/>
      <c r="F305" s="6">
        <f>290.12-130</f>
        <v>160.12</v>
      </c>
      <c r="G305" s="16"/>
      <c r="H305" s="4" t="s">
        <v>23</v>
      </c>
      <c r="I305" s="174"/>
      <c r="J305" s="72"/>
      <c r="K305" s="182"/>
    </row>
    <row r="306" spans="1:11" ht="15.75" customHeight="1">
      <c r="A306" s="132"/>
      <c r="B306" s="157">
        <v>2015</v>
      </c>
      <c r="C306" s="156">
        <f>F306+F307+F308+F309+F310+F311+F312</f>
        <v>1542.6115399999999</v>
      </c>
      <c r="D306" s="9"/>
      <c r="E306" s="38"/>
      <c r="F306" s="22">
        <f>319-12.38168-0.02972</f>
        <v>306.5886</v>
      </c>
      <c r="G306" s="16"/>
      <c r="H306" s="4" t="s">
        <v>10</v>
      </c>
      <c r="I306" s="174"/>
      <c r="J306" s="72"/>
      <c r="K306" s="182"/>
    </row>
    <row r="307" spans="1:11" ht="15.75" customHeight="1">
      <c r="A307" s="132"/>
      <c r="B307" s="157"/>
      <c r="C307" s="156"/>
      <c r="D307" s="9"/>
      <c r="E307" s="38"/>
      <c r="F307" s="22">
        <f>159</f>
        <v>159</v>
      </c>
      <c r="G307" s="16"/>
      <c r="H307" s="4" t="s">
        <v>19</v>
      </c>
      <c r="I307" s="174"/>
      <c r="J307" s="72"/>
      <c r="K307" s="182"/>
    </row>
    <row r="308" spans="1:11" ht="15.75" customHeight="1">
      <c r="A308" s="132"/>
      <c r="B308" s="157"/>
      <c r="C308" s="156"/>
      <c r="D308" s="9"/>
      <c r="E308" s="38"/>
      <c r="F308" s="22">
        <f>203.5298-10+5</f>
        <v>198.5298</v>
      </c>
      <c r="G308" s="16"/>
      <c r="H308" s="4" t="s">
        <v>20</v>
      </c>
      <c r="I308" s="174"/>
      <c r="J308" s="72"/>
      <c r="K308" s="182"/>
    </row>
    <row r="309" spans="1:11" ht="15.75" customHeight="1">
      <c r="A309" s="132"/>
      <c r="B309" s="157"/>
      <c r="C309" s="156"/>
      <c r="D309" s="9"/>
      <c r="E309" s="38"/>
      <c r="F309" s="22">
        <f>407.6-4-4</f>
        <v>399.6</v>
      </c>
      <c r="G309" s="16"/>
      <c r="H309" s="4" t="s">
        <v>21</v>
      </c>
      <c r="I309" s="174"/>
      <c r="J309" s="72"/>
      <c r="K309" s="182"/>
    </row>
    <row r="310" spans="1:11" ht="15.75" customHeight="1">
      <c r="A310" s="132"/>
      <c r="B310" s="157"/>
      <c r="C310" s="156"/>
      <c r="D310" s="9"/>
      <c r="E310" s="38"/>
      <c r="F310" s="22">
        <v>175.3478</v>
      </c>
      <c r="G310" s="16"/>
      <c r="H310" s="4" t="s">
        <v>22</v>
      </c>
      <c r="I310" s="174"/>
      <c r="J310" s="72"/>
      <c r="K310" s="182"/>
    </row>
    <row r="311" spans="1:11" ht="15.75" customHeight="1">
      <c r="A311" s="132"/>
      <c r="B311" s="157"/>
      <c r="C311" s="156"/>
      <c r="D311" s="9"/>
      <c r="E311" s="38"/>
      <c r="F311" s="22">
        <f>137.139-1.36458</f>
        <v>135.77442000000002</v>
      </c>
      <c r="G311" s="16"/>
      <c r="H311" s="4" t="s">
        <v>23</v>
      </c>
      <c r="I311" s="174"/>
      <c r="J311" s="72"/>
      <c r="K311" s="182"/>
    </row>
    <row r="312" spans="1:11" ht="15.75" customHeight="1">
      <c r="A312" s="132"/>
      <c r="B312" s="157"/>
      <c r="C312" s="156"/>
      <c r="D312" s="9"/>
      <c r="E312" s="38"/>
      <c r="F312" s="22">
        <f>220-43.73-8.49908</f>
        <v>167.77092000000002</v>
      </c>
      <c r="G312" s="16"/>
      <c r="H312" s="4" t="s">
        <v>9</v>
      </c>
      <c r="I312" s="174"/>
      <c r="J312" s="72"/>
      <c r="K312" s="182"/>
    </row>
    <row r="313" spans="1:11" ht="15.75" customHeight="1">
      <c r="A313" s="132"/>
      <c r="B313" s="151">
        <v>2016</v>
      </c>
      <c r="C313" s="198">
        <f>F313+F314+F315+F316+F317+F318+F319</f>
        <v>1469.9579999999999</v>
      </c>
      <c r="D313" s="113"/>
      <c r="E313" s="66"/>
      <c r="F313" s="67">
        <f>341.6-75.364</f>
        <v>266.236</v>
      </c>
      <c r="G313" s="16"/>
      <c r="H313" s="4" t="s">
        <v>10</v>
      </c>
      <c r="I313" s="174"/>
      <c r="J313" s="72"/>
      <c r="K313" s="182"/>
    </row>
    <row r="314" spans="1:11" ht="15.75" customHeight="1">
      <c r="A314" s="132"/>
      <c r="B314" s="152"/>
      <c r="C314" s="199"/>
      <c r="D314" s="114"/>
      <c r="E314" s="66"/>
      <c r="F314" s="67">
        <f>135.1-34.71</f>
        <v>100.38999999999999</v>
      </c>
      <c r="G314" s="16"/>
      <c r="H314" s="4" t="s">
        <v>19</v>
      </c>
      <c r="I314" s="174"/>
      <c r="J314" s="72"/>
      <c r="K314" s="182"/>
    </row>
    <row r="315" spans="1:11" ht="15.75" customHeight="1">
      <c r="A315" s="132"/>
      <c r="B315" s="152"/>
      <c r="C315" s="199"/>
      <c r="D315" s="114"/>
      <c r="E315" s="66"/>
      <c r="F315" s="67">
        <v>215.1</v>
      </c>
      <c r="G315" s="16"/>
      <c r="H315" s="4" t="s">
        <v>20</v>
      </c>
      <c r="I315" s="174"/>
      <c r="J315" s="72"/>
      <c r="K315" s="182"/>
    </row>
    <row r="316" spans="1:11" ht="15.75" customHeight="1">
      <c r="A316" s="132"/>
      <c r="B316" s="152"/>
      <c r="C316" s="199"/>
      <c r="D316" s="114"/>
      <c r="E316" s="66"/>
      <c r="F316" s="104">
        <f>438.1-57-29.9407-2.1423</f>
        <v>349.01700000000005</v>
      </c>
      <c r="G316" s="16"/>
      <c r="H316" s="4" t="s">
        <v>21</v>
      </c>
      <c r="I316" s="174"/>
      <c r="J316" s="72"/>
      <c r="K316" s="182"/>
    </row>
    <row r="317" spans="1:11" ht="15.75" customHeight="1">
      <c r="A317" s="132"/>
      <c r="B317" s="152"/>
      <c r="C317" s="199"/>
      <c r="D317" s="114"/>
      <c r="E317" s="66"/>
      <c r="F317" s="67">
        <f>205.5-16.5</f>
        <v>189</v>
      </c>
      <c r="G317" s="16"/>
      <c r="H317" s="4" t="s">
        <v>22</v>
      </c>
      <c r="I317" s="174"/>
      <c r="J317" s="72"/>
      <c r="K317" s="182"/>
    </row>
    <row r="318" spans="1:11" ht="15.75" customHeight="1">
      <c r="A318" s="132"/>
      <c r="B318" s="152"/>
      <c r="C318" s="199"/>
      <c r="D318" s="114"/>
      <c r="E318" s="66"/>
      <c r="F318" s="67">
        <f>96.2-20+60.415</f>
        <v>136.615</v>
      </c>
      <c r="G318" s="16"/>
      <c r="H318" s="4" t="s">
        <v>23</v>
      </c>
      <c r="I318" s="175"/>
      <c r="J318" s="72"/>
      <c r="K318" s="182"/>
    </row>
    <row r="319" spans="1:11" ht="15.75" customHeight="1">
      <c r="A319" s="133"/>
      <c r="B319" s="153"/>
      <c r="C319" s="200"/>
      <c r="D319" s="115"/>
      <c r="E319" s="66"/>
      <c r="F319" s="67">
        <v>213.6</v>
      </c>
      <c r="G319" s="16"/>
      <c r="H319" s="4" t="s">
        <v>9</v>
      </c>
      <c r="I319" s="70"/>
      <c r="J319" s="72"/>
      <c r="K319" s="182"/>
    </row>
    <row r="320" spans="1:11" ht="15.75" customHeight="1">
      <c r="A320" s="131" t="s">
        <v>92</v>
      </c>
      <c r="B320" s="151">
        <v>2014</v>
      </c>
      <c r="C320" s="148">
        <f>SUM(F320:F326)+E320+E321+E322+E323+E324+E325+E326</f>
        <v>198.142</v>
      </c>
      <c r="D320" s="31"/>
      <c r="E320" s="21">
        <v>33.202</v>
      </c>
      <c r="F320" s="6">
        <v>0</v>
      </c>
      <c r="G320" s="16"/>
      <c r="H320" s="4" t="s">
        <v>9</v>
      </c>
      <c r="I320" s="71"/>
      <c r="J320" s="72">
        <v>226</v>
      </c>
      <c r="K320" s="182"/>
    </row>
    <row r="321" spans="1:11" ht="15.75" customHeight="1">
      <c r="A321" s="132"/>
      <c r="B321" s="152"/>
      <c r="C321" s="149"/>
      <c r="D321" s="34"/>
      <c r="E321" s="21">
        <v>35</v>
      </c>
      <c r="F321" s="6">
        <v>0</v>
      </c>
      <c r="G321" s="16"/>
      <c r="H321" s="4" t="s">
        <v>10</v>
      </c>
      <c r="I321" s="71"/>
      <c r="J321" s="72"/>
      <c r="K321" s="182"/>
    </row>
    <row r="322" spans="1:11" ht="15.75" customHeight="1">
      <c r="A322" s="132"/>
      <c r="B322" s="152"/>
      <c r="C322" s="149"/>
      <c r="D322" s="34"/>
      <c r="E322" s="21"/>
      <c r="F322" s="6">
        <v>30</v>
      </c>
      <c r="G322" s="16"/>
      <c r="H322" s="4" t="s">
        <v>19</v>
      </c>
      <c r="I322" s="71"/>
      <c r="J322" s="72"/>
      <c r="K322" s="182"/>
    </row>
    <row r="323" spans="1:11" ht="15.75" customHeight="1">
      <c r="A323" s="132"/>
      <c r="B323" s="152"/>
      <c r="C323" s="149"/>
      <c r="D323" s="34"/>
      <c r="E323" s="21"/>
      <c r="F323" s="6">
        <v>30</v>
      </c>
      <c r="G323" s="16"/>
      <c r="H323" s="4" t="s">
        <v>20</v>
      </c>
      <c r="I323" s="71"/>
      <c r="J323" s="72"/>
      <c r="K323" s="182"/>
    </row>
    <row r="324" spans="1:11" ht="15.75" customHeight="1">
      <c r="A324" s="132"/>
      <c r="B324" s="152"/>
      <c r="C324" s="149"/>
      <c r="D324" s="34"/>
      <c r="E324" s="21"/>
      <c r="F324" s="6">
        <v>30</v>
      </c>
      <c r="G324" s="16"/>
      <c r="H324" s="4" t="s">
        <v>21</v>
      </c>
      <c r="I324" s="71"/>
      <c r="J324" s="72"/>
      <c r="K324" s="182"/>
    </row>
    <row r="325" spans="1:11" ht="15.75" customHeight="1">
      <c r="A325" s="132"/>
      <c r="B325" s="152"/>
      <c r="C325" s="149"/>
      <c r="D325" s="34"/>
      <c r="E325" s="21">
        <f>20-0.06</f>
        <v>19.94</v>
      </c>
      <c r="F325" s="6">
        <v>0</v>
      </c>
      <c r="G325" s="16"/>
      <c r="H325" s="4" t="s">
        <v>22</v>
      </c>
      <c r="I325" s="71"/>
      <c r="J325" s="72"/>
      <c r="K325" s="182"/>
    </row>
    <row r="326" spans="1:10" ht="15.75" customHeight="1">
      <c r="A326" s="132"/>
      <c r="B326" s="153"/>
      <c r="C326" s="150"/>
      <c r="D326" s="35"/>
      <c r="E326" s="38"/>
      <c r="F326" s="6">
        <v>20</v>
      </c>
      <c r="G326" s="16"/>
      <c r="H326" s="4" t="s">
        <v>23</v>
      </c>
      <c r="I326" s="71"/>
      <c r="J326" s="72"/>
    </row>
    <row r="327" spans="1:10" ht="15.75" customHeight="1">
      <c r="A327" s="132"/>
      <c r="B327" s="151">
        <v>2015</v>
      </c>
      <c r="C327" s="142">
        <f>SUM(F327:F333)</f>
        <v>23.8741</v>
      </c>
      <c r="D327" s="31"/>
      <c r="E327" s="38"/>
      <c r="F327" s="22">
        <v>18.1009</v>
      </c>
      <c r="G327" s="16"/>
      <c r="H327" s="4" t="s">
        <v>9</v>
      </c>
      <c r="I327" s="71"/>
      <c r="J327" s="72"/>
    </row>
    <row r="328" spans="1:10" ht="15.75" customHeight="1">
      <c r="A328" s="132"/>
      <c r="B328" s="152"/>
      <c r="C328" s="143"/>
      <c r="D328" s="34"/>
      <c r="E328" s="38"/>
      <c r="F328" s="22">
        <v>0</v>
      </c>
      <c r="G328" s="16"/>
      <c r="H328" s="4" t="s">
        <v>10</v>
      </c>
      <c r="I328" s="71"/>
      <c r="J328" s="72"/>
    </row>
    <row r="329" spans="1:10" ht="15.75" customHeight="1">
      <c r="A329" s="132"/>
      <c r="B329" s="152"/>
      <c r="C329" s="143"/>
      <c r="D329" s="34"/>
      <c r="E329" s="38"/>
      <c r="F329" s="22">
        <v>0</v>
      </c>
      <c r="G329" s="16"/>
      <c r="H329" s="4" t="s">
        <v>19</v>
      </c>
      <c r="I329" s="71"/>
      <c r="J329" s="72"/>
    </row>
    <row r="330" spans="1:10" ht="15.75" customHeight="1">
      <c r="A330" s="132"/>
      <c r="B330" s="152"/>
      <c r="C330" s="143"/>
      <c r="D330" s="34"/>
      <c r="E330" s="38"/>
      <c r="F330" s="22">
        <v>4.3</v>
      </c>
      <c r="G330" s="16"/>
      <c r="H330" s="4" t="s">
        <v>20</v>
      </c>
      <c r="I330" s="71"/>
      <c r="J330" s="72"/>
    </row>
    <row r="331" spans="1:10" ht="15.75" customHeight="1">
      <c r="A331" s="132"/>
      <c r="B331" s="152"/>
      <c r="C331" s="143"/>
      <c r="D331" s="34"/>
      <c r="E331" s="38"/>
      <c r="F331" s="22">
        <v>1.4732</v>
      </c>
      <c r="G331" s="16"/>
      <c r="H331" s="4" t="s">
        <v>21</v>
      </c>
      <c r="I331" s="71"/>
      <c r="J331" s="72"/>
    </row>
    <row r="332" spans="1:10" ht="15.75" customHeight="1">
      <c r="A332" s="132"/>
      <c r="B332" s="152"/>
      <c r="C332" s="143"/>
      <c r="D332" s="34"/>
      <c r="E332" s="38"/>
      <c r="F332" s="22">
        <v>0</v>
      </c>
      <c r="G332" s="16"/>
      <c r="H332" s="4" t="s">
        <v>22</v>
      </c>
      <c r="I332" s="71"/>
      <c r="J332" s="72"/>
    </row>
    <row r="333" spans="1:10" ht="15.75" customHeight="1">
      <c r="A333" s="132"/>
      <c r="B333" s="153"/>
      <c r="C333" s="144"/>
      <c r="D333" s="35"/>
      <c r="E333" s="38"/>
      <c r="F333" s="22">
        <v>0</v>
      </c>
      <c r="G333" s="16"/>
      <c r="H333" s="4" t="s">
        <v>23</v>
      </c>
      <c r="I333" s="71"/>
      <c r="J333" s="72"/>
    </row>
    <row r="334" spans="1:10" ht="15.75" customHeight="1">
      <c r="A334" s="132"/>
      <c r="B334" s="151">
        <v>2016</v>
      </c>
      <c r="C334" s="148">
        <f>SUM(F334:F340)</f>
        <v>32.1</v>
      </c>
      <c r="D334" s="31"/>
      <c r="E334" s="38"/>
      <c r="F334" s="6">
        <f>1+2.6</f>
        <v>3.6</v>
      </c>
      <c r="G334" s="16"/>
      <c r="H334" s="4" t="s">
        <v>9</v>
      </c>
      <c r="I334" s="71"/>
      <c r="J334" s="72"/>
    </row>
    <row r="335" spans="1:10" ht="15.75" customHeight="1">
      <c r="A335" s="132"/>
      <c r="B335" s="152"/>
      <c r="C335" s="149"/>
      <c r="D335" s="34"/>
      <c r="E335" s="38"/>
      <c r="F335" s="6">
        <v>0</v>
      </c>
      <c r="G335" s="16"/>
      <c r="H335" s="4" t="s">
        <v>10</v>
      </c>
      <c r="I335" s="71"/>
      <c r="J335" s="72"/>
    </row>
    <row r="336" spans="1:10" ht="15.75" customHeight="1">
      <c r="A336" s="132"/>
      <c r="B336" s="152"/>
      <c r="C336" s="149"/>
      <c r="D336" s="34"/>
      <c r="E336" s="38"/>
      <c r="F336" s="6">
        <v>1</v>
      </c>
      <c r="G336" s="16"/>
      <c r="H336" s="4" t="s">
        <v>19</v>
      </c>
      <c r="I336" s="71"/>
      <c r="J336" s="72"/>
    </row>
    <row r="337" spans="1:10" ht="15.75" customHeight="1">
      <c r="A337" s="132"/>
      <c r="B337" s="152"/>
      <c r="C337" s="149"/>
      <c r="D337" s="34"/>
      <c r="E337" s="38"/>
      <c r="F337" s="6">
        <f>5+2.3+0.2</f>
        <v>7.5</v>
      </c>
      <c r="G337" s="16"/>
      <c r="H337" s="4" t="s">
        <v>20</v>
      </c>
      <c r="I337" s="71"/>
      <c r="J337" s="72"/>
    </row>
    <row r="338" spans="1:10" ht="15.75" customHeight="1">
      <c r="A338" s="132"/>
      <c r="B338" s="152"/>
      <c r="C338" s="149"/>
      <c r="D338" s="34"/>
      <c r="E338" s="38"/>
      <c r="F338" s="6">
        <v>10</v>
      </c>
      <c r="G338" s="16"/>
      <c r="H338" s="4" t="s">
        <v>21</v>
      </c>
      <c r="I338" s="71"/>
      <c r="J338" s="72"/>
    </row>
    <row r="339" spans="1:10" ht="15.75" customHeight="1">
      <c r="A339" s="132"/>
      <c r="B339" s="152"/>
      <c r="C339" s="149"/>
      <c r="D339" s="34"/>
      <c r="E339" s="38"/>
      <c r="F339" s="6">
        <v>10</v>
      </c>
      <c r="G339" s="16"/>
      <c r="H339" s="4" t="s">
        <v>22</v>
      </c>
      <c r="I339" s="71"/>
      <c r="J339" s="72"/>
    </row>
    <row r="340" spans="1:10" ht="15.75" customHeight="1">
      <c r="A340" s="133"/>
      <c r="B340" s="153"/>
      <c r="C340" s="150"/>
      <c r="D340" s="35"/>
      <c r="E340" s="38"/>
      <c r="F340" s="6">
        <v>0</v>
      </c>
      <c r="G340" s="16"/>
      <c r="H340" s="4" t="s">
        <v>23</v>
      </c>
      <c r="I340" s="37"/>
      <c r="J340" s="72"/>
    </row>
    <row r="341" spans="1:10" ht="15.75" customHeight="1">
      <c r="A341" s="131" t="s">
        <v>39</v>
      </c>
      <c r="B341" s="151">
        <v>2014</v>
      </c>
      <c r="C341" s="148">
        <f>F341+F342+F343+F344+F345+F346</f>
        <v>8.04</v>
      </c>
      <c r="D341" s="31"/>
      <c r="E341" s="38"/>
      <c r="F341" s="6">
        <v>1.15</v>
      </c>
      <c r="G341" s="16"/>
      <c r="H341" s="4" t="s">
        <v>9</v>
      </c>
      <c r="I341" s="70"/>
      <c r="J341" s="72"/>
    </row>
    <row r="342" spans="1:10" ht="15.75" customHeight="1">
      <c r="A342" s="132"/>
      <c r="B342" s="152"/>
      <c r="C342" s="149"/>
      <c r="D342" s="34"/>
      <c r="E342" s="38"/>
      <c r="F342" s="6">
        <v>0.575</v>
      </c>
      <c r="G342" s="16"/>
      <c r="H342" s="4" t="s">
        <v>19</v>
      </c>
      <c r="I342" s="71"/>
      <c r="J342" s="72">
        <v>340</v>
      </c>
    </row>
    <row r="343" spans="1:10" ht="15.75" customHeight="1">
      <c r="A343" s="132"/>
      <c r="B343" s="152"/>
      <c r="C343" s="149"/>
      <c r="D343" s="34"/>
      <c r="E343" s="38"/>
      <c r="F343" s="6">
        <v>1.15</v>
      </c>
      <c r="G343" s="16"/>
      <c r="H343" s="4" t="s">
        <v>20</v>
      </c>
      <c r="I343" s="71"/>
      <c r="J343" s="72"/>
    </row>
    <row r="344" spans="1:10" ht="15.75" customHeight="1">
      <c r="A344" s="132"/>
      <c r="B344" s="152"/>
      <c r="C344" s="149"/>
      <c r="D344" s="34"/>
      <c r="E344" s="38"/>
      <c r="F344" s="6">
        <v>2.295</v>
      </c>
      <c r="G344" s="16"/>
      <c r="H344" s="4" t="s">
        <v>21</v>
      </c>
      <c r="I344" s="71"/>
      <c r="J344" s="72"/>
    </row>
    <row r="345" spans="1:10" ht="15.75" customHeight="1">
      <c r="A345" s="132"/>
      <c r="B345" s="152"/>
      <c r="C345" s="149"/>
      <c r="D345" s="34"/>
      <c r="E345" s="38"/>
      <c r="F345" s="6">
        <v>0.575</v>
      </c>
      <c r="G345" s="16"/>
      <c r="H345" s="4" t="s">
        <v>22</v>
      </c>
      <c r="I345" s="71"/>
      <c r="J345" s="72"/>
    </row>
    <row r="346" spans="1:10" ht="15.75" customHeight="1">
      <c r="A346" s="132"/>
      <c r="B346" s="153"/>
      <c r="C346" s="150"/>
      <c r="D346" s="35"/>
      <c r="E346" s="38"/>
      <c r="F346" s="6">
        <v>2.295</v>
      </c>
      <c r="G346" s="16"/>
      <c r="H346" s="4" t="s">
        <v>23</v>
      </c>
      <c r="I346" s="71"/>
      <c r="J346" s="72"/>
    </row>
    <row r="347" spans="1:10" ht="15.75" customHeight="1">
      <c r="A347" s="132"/>
      <c r="B347" s="151">
        <v>2015</v>
      </c>
      <c r="C347" s="148">
        <f>F347+F348+F349+F350+F351+F352</f>
        <v>6.89</v>
      </c>
      <c r="D347" s="31"/>
      <c r="E347" s="38"/>
      <c r="F347" s="6">
        <v>0</v>
      </c>
      <c r="G347" s="16"/>
      <c r="H347" s="4" t="s">
        <v>9</v>
      </c>
      <c r="I347" s="71"/>
      <c r="J347" s="72"/>
    </row>
    <row r="348" spans="1:10" ht="15.75" customHeight="1">
      <c r="A348" s="132"/>
      <c r="B348" s="152"/>
      <c r="C348" s="149"/>
      <c r="D348" s="34"/>
      <c r="E348" s="38"/>
      <c r="F348" s="6">
        <v>0.575</v>
      </c>
      <c r="G348" s="16"/>
      <c r="H348" s="4" t="s">
        <v>19</v>
      </c>
      <c r="I348" s="71"/>
      <c r="J348" s="72"/>
    </row>
    <row r="349" spans="1:10" ht="15.75" customHeight="1">
      <c r="A349" s="132"/>
      <c r="B349" s="152"/>
      <c r="C349" s="149"/>
      <c r="D349" s="34"/>
      <c r="E349" s="38"/>
      <c r="F349" s="6">
        <v>1.15</v>
      </c>
      <c r="G349" s="16"/>
      <c r="H349" s="4" t="s">
        <v>20</v>
      </c>
      <c r="I349" s="71"/>
      <c r="J349" s="72"/>
    </row>
    <row r="350" spans="1:10" ht="15.75" customHeight="1">
      <c r="A350" s="132"/>
      <c r="B350" s="152"/>
      <c r="C350" s="149"/>
      <c r="D350" s="34"/>
      <c r="E350" s="38"/>
      <c r="F350" s="6">
        <v>2.295</v>
      </c>
      <c r="G350" s="16"/>
      <c r="H350" s="4" t="s">
        <v>21</v>
      </c>
      <c r="I350" s="71"/>
      <c r="J350" s="72"/>
    </row>
    <row r="351" spans="1:10" ht="15.75" customHeight="1">
      <c r="A351" s="132"/>
      <c r="B351" s="152"/>
      <c r="C351" s="149"/>
      <c r="D351" s="34"/>
      <c r="E351" s="38"/>
      <c r="F351" s="6">
        <v>0.575</v>
      </c>
      <c r="G351" s="16"/>
      <c r="H351" s="4" t="s">
        <v>22</v>
      </c>
      <c r="I351" s="71"/>
      <c r="J351" s="72"/>
    </row>
    <row r="352" spans="1:10" ht="15.75" customHeight="1">
      <c r="A352" s="132"/>
      <c r="B352" s="153"/>
      <c r="C352" s="150"/>
      <c r="D352" s="35"/>
      <c r="E352" s="38"/>
      <c r="F352" s="6">
        <v>2.295</v>
      </c>
      <c r="G352" s="16"/>
      <c r="H352" s="4" t="s">
        <v>23</v>
      </c>
      <c r="I352" s="71"/>
      <c r="J352" s="72"/>
    </row>
    <row r="353" spans="1:10" ht="15.75" customHeight="1">
      <c r="A353" s="132"/>
      <c r="B353" s="151">
        <v>2016</v>
      </c>
      <c r="C353" s="148">
        <f>F353+F354+F355+F356+F357+F358</f>
        <v>0</v>
      </c>
      <c r="D353" s="31"/>
      <c r="E353" s="38"/>
      <c r="F353" s="6">
        <v>0</v>
      </c>
      <c r="G353" s="16"/>
      <c r="H353" s="4" t="s">
        <v>9</v>
      </c>
      <c r="I353" s="71"/>
      <c r="J353" s="72"/>
    </row>
    <row r="354" spans="1:10" ht="15.75" customHeight="1">
      <c r="A354" s="132"/>
      <c r="B354" s="152"/>
      <c r="C354" s="149"/>
      <c r="D354" s="34"/>
      <c r="E354" s="38"/>
      <c r="F354" s="6">
        <v>0</v>
      </c>
      <c r="G354" s="16"/>
      <c r="H354" s="4" t="s">
        <v>19</v>
      </c>
      <c r="I354" s="71"/>
      <c r="J354" s="72"/>
    </row>
    <row r="355" spans="1:10" ht="15.75" customHeight="1">
      <c r="A355" s="132"/>
      <c r="B355" s="152"/>
      <c r="C355" s="149"/>
      <c r="D355" s="34"/>
      <c r="E355" s="38"/>
      <c r="F355" s="6">
        <f>1.15-1.15</f>
        <v>0</v>
      </c>
      <c r="G355" s="16"/>
      <c r="H355" s="4" t="s">
        <v>20</v>
      </c>
      <c r="I355" s="71"/>
      <c r="J355" s="72"/>
    </row>
    <row r="356" spans="1:10" ht="15.75" customHeight="1">
      <c r="A356" s="132"/>
      <c r="B356" s="152"/>
      <c r="C356" s="149"/>
      <c r="D356" s="34"/>
      <c r="E356" s="38"/>
      <c r="F356" s="6">
        <v>0</v>
      </c>
      <c r="G356" s="16"/>
      <c r="H356" s="4" t="s">
        <v>21</v>
      </c>
      <c r="I356" s="71"/>
      <c r="J356" s="72"/>
    </row>
    <row r="357" spans="1:10" ht="15.75" customHeight="1">
      <c r="A357" s="132"/>
      <c r="B357" s="152"/>
      <c r="C357" s="149"/>
      <c r="D357" s="34"/>
      <c r="E357" s="38"/>
      <c r="F357" s="6">
        <v>0</v>
      </c>
      <c r="G357" s="16"/>
      <c r="H357" s="4" t="s">
        <v>22</v>
      </c>
      <c r="I357" s="71"/>
      <c r="J357" s="72"/>
    </row>
    <row r="358" spans="1:10" ht="15.75" customHeight="1">
      <c r="A358" s="133"/>
      <c r="B358" s="153"/>
      <c r="C358" s="150"/>
      <c r="D358" s="35"/>
      <c r="E358" s="38"/>
      <c r="F358" s="6">
        <f>2.295-2.295</f>
        <v>0</v>
      </c>
      <c r="G358" s="16"/>
      <c r="H358" s="4" t="s">
        <v>23</v>
      </c>
      <c r="I358" s="71"/>
      <c r="J358" s="72"/>
    </row>
    <row r="359" spans="1:10" ht="31.5" customHeight="1">
      <c r="A359" s="24" t="s">
        <v>94</v>
      </c>
      <c r="B359" s="9" t="s">
        <v>93</v>
      </c>
      <c r="C359" s="55">
        <f>C360+C361+C362</f>
        <v>14045.94689</v>
      </c>
      <c r="D359" s="9"/>
      <c r="E359" s="55">
        <f>E360+E361</f>
        <v>1775.2910200000001</v>
      </c>
      <c r="F359" s="55">
        <f>F360+F361+F362</f>
        <v>12270.65587</v>
      </c>
      <c r="G359" s="16"/>
      <c r="H359" s="4"/>
      <c r="I359" s="71"/>
      <c r="J359" s="72"/>
    </row>
    <row r="360" spans="1:10" ht="27" customHeight="1">
      <c r="A360" s="17"/>
      <c r="B360" s="112">
        <v>2014</v>
      </c>
      <c r="C360" s="50">
        <f>E360+F360</f>
        <v>4753.223019999999</v>
      </c>
      <c r="D360" s="23"/>
      <c r="E360" s="56">
        <f>E13+E14+E15+E16+E17+E18+E55+E56+E57+E58+E59+E60+E61+E99+E100+E115+E116+E117+E118+E119+E152+E153+E154+E155+E156+E157+E158+E184+E185+E186+E187+E188+E189+E190+E206+E227+E239+E240+E241+E242+E243+E244+E245+E261+E262+E264+E265+E278+E279+E280+E281+E320+E321+E325</f>
        <v>1535.9910200000002</v>
      </c>
      <c r="F360" s="50">
        <f>F13+F14+F15+F16+F17+F18+F19+F34+F35+F36+F37+F38+F39+F40+F55+F56+F57+F58+F59+F60+F61+F76+F77+F78+F79+F80+F81+F82+F97+F98+F99+F100+F101+F102+F115+F116+F117+F118+F119+F131+F132+F133+F134+F135+F136+F137+F152+F153+F154+F155+F156+F157+F158+F184+F185+F186+F187+F188+F189+F190+F205+F206+F207+F208+F209+F210+F211+F226+F228+F229+F239+F240+F241+F242+F243+F244+F245+F260+F261+F262+F263+F264+F265+F278+F279+F280+F281+F292+F293+F299+F300+F301+F302+F303+F304+F305+F320+F321+F322+F323+F324+F325+F326+F341+F342+F343+F344+F345+F346</f>
        <v>3217.2319999999995</v>
      </c>
      <c r="G360" s="15"/>
      <c r="H360" s="15"/>
      <c r="I360" s="71"/>
      <c r="J360" s="72"/>
    </row>
    <row r="361" spans="1:10" ht="27.75" customHeight="1">
      <c r="A361" s="17"/>
      <c r="B361" s="112">
        <v>2015</v>
      </c>
      <c r="C361" s="50">
        <f>E361+F361</f>
        <v>4309.74417</v>
      </c>
      <c r="D361" s="23"/>
      <c r="E361" s="77">
        <f>E295</f>
        <v>239.3</v>
      </c>
      <c r="F361" s="50">
        <f>F20+F21+F22+F23+F24+F25+F26+F41+F42+F43+F44+F45+F46+F47+F62+F63+F64+F65+F66+F67+F68+F83+F84+F85+F86+F87+F88+F89+F103+F104+F105+F106+F107+F108+F120+F121+F122+F123+F124+F138+F139+F140+F141+F142+F143+F144+F159+F160+F161+F162+F163+F164+F165+F173+F177+F178+F191+F192+F193+F194+F195+F196+F197+F212+F213+F214+F215+F216+F217+F218+F230+F231+F233+F234+F246+F247+F248+F249+F250+F251+F252+F266+F267+F268+F269+F270+F271+F282+F283+F284+F295+F306+F307+F308+F309+F310+F311+F312+F327+F328+F329+F330+F331+F332+F333+F347+F348+F349+F350+F351+F352</f>
        <v>4070.44417</v>
      </c>
      <c r="G361" s="15"/>
      <c r="H361" s="15"/>
      <c r="I361" s="71"/>
      <c r="J361" s="72"/>
    </row>
    <row r="362" spans="1:10" ht="30" customHeight="1">
      <c r="A362" s="17"/>
      <c r="B362" s="112">
        <v>2016</v>
      </c>
      <c r="C362" s="117">
        <f>C27+C48+C69+C90+C109+C125+C145+C166+C198+C219+C235+C253+C272+C179+C232+C285+C286+C313+C334+C353+C294</f>
        <v>4982.9797</v>
      </c>
      <c r="D362" s="116"/>
      <c r="E362" s="80"/>
      <c r="F362" s="117">
        <f>F27+F28+F29+F30+F31+F32+F33+F48+F49+F50+F51+F52+F53+F54+F69+F294+F70+F71+F72+F73+F74+F75+F90+F91+F92+F179+F235+F93+F94+F95+F96+F130+F109+F110+F111+F112+F113+F114+F125+F126+F127+F128+F129+F145+F146+F287+F288+F289+F290+F291+F147+F148+F149+F150+F151+F166+F167+F168+F169+F170+F171+F172+F198+F199+F200+F201+F202+F203+F204+F219+F220+F221+F222+F223+F224+F225+F232+F253+F254+F255+F256+F257+F258+F259+F272+F273+F274+F275+F276+F277+F285+F313+F314+F315+F316+F317+F318+F319+F334+F335+F336+F337+F338+F339+F340+F353+F354+F355+F356+F357+F358+F286</f>
        <v>4982.979700000001</v>
      </c>
      <c r="G362" s="15"/>
      <c r="H362" s="15"/>
      <c r="I362" s="37"/>
      <c r="J362" s="72"/>
    </row>
    <row r="363" spans="4:7" ht="19.5" customHeight="1">
      <c r="D363" s="58">
        <v>2015</v>
      </c>
      <c r="E363" s="59"/>
      <c r="F363" s="60"/>
      <c r="G363" s="60">
        <v>2016</v>
      </c>
    </row>
    <row r="364" spans="1:7" ht="18">
      <c r="A364" s="1"/>
      <c r="B364" s="1"/>
      <c r="C364" s="25" t="s">
        <v>61</v>
      </c>
      <c r="D364" s="78">
        <f>F20+F41+F62+F83+F120+F138+F159+F191+F212+F246+F266+F282+F312+F327+F347</f>
        <v>548.3179200000001</v>
      </c>
      <c r="E364" s="45"/>
      <c r="F364" s="25" t="s">
        <v>61</v>
      </c>
      <c r="G364" s="25">
        <f>F27+F48+F69+F90+F125+F145+F166+F198+F219+F253+F272+F285+F319+F334+F353</f>
        <v>490.244</v>
      </c>
    </row>
    <row r="365" spans="1:7" ht="18">
      <c r="A365" s="52"/>
      <c r="B365" s="52">
        <f>C27+C48+C69++C90+C109+C125+C145+C166+C179+C198+C219+C232+C235+C253+C272+C285+C294+C313+C334+C353</f>
        <v>4982.9797</v>
      </c>
      <c r="C365" s="25" t="s">
        <v>62</v>
      </c>
      <c r="D365" s="78">
        <f>F21+F42+F63+F84+F103+F121+F139+F160+F178+F192+F213+F247+F267+F283+E295+F306+F328</f>
        <v>1068.6486</v>
      </c>
      <c r="E365" s="45"/>
      <c r="F365" s="25" t="s">
        <v>62</v>
      </c>
      <c r="G365" s="25">
        <f>F28+F49+F70+F91+F109+F126+F146+F167+F199+F220+F254+F273+F313+F335</f>
        <v>454.616</v>
      </c>
    </row>
    <row r="366" spans="1:7" ht="21.75" customHeight="1">
      <c r="A366" s="1"/>
      <c r="B366" s="1"/>
      <c r="C366" s="1" t="s">
        <v>63</v>
      </c>
      <c r="D366" s="78">
        <f>F22+F43+F64+F85+F104+F122+F140+F161+F193+F214+F231+F248+F268+F307+F329+F348</f>
        <v>331.267</v>
      </c>
      <c r="E366" s="45"/>
      <c r="F366" s="1" t="s">
        <v>63</v>
      </c>
      <c r="G366" s="57">
        <f>F29+F50+F71+F92+F110+F127+F147+F168+F200+F221+F255+F274+F314+F336+F354</f>
        <v>373.42891000000003</v>
      </c>
    </row>
    <row r="367" spans="1:8" ht="18">
      <c r="A367" s="1"/>
      <c r="B367" s="26"/>
      <c r="C367" s="40" t="s">
        <v>64</v>
      </c>
      <c r="D367" s="78">
        <f>F23+F44+F65+F86+F105+F141+F162+F177+F194+F215+F249+F269+F308+F330+F349</f>
        <v>531.20737</v>
      </c>
      <c r="E367" s="27"/>
      <c r="F367" s="40" t="s">
        <v>64</v>
      </c>
      <c r="G367" s="40">
        <f>F30+F51+F72+F93+F111+F148+F169+F201+F222+F256+F275+F315+F337+F355</f>
        <v>397.034</v>
      </c>
      <c r="H367" s="3"/>
    </row>
    <row r="368" spans="1:8" ht="18" customHeight="1">
      <c r="A368" s="1"/>
      <c r="B368" s="26"/>
      <c r="C368" s="40" t="s">
        <v>65</v>
      </c>
      <c r="D368" s="78">
        <f>F24+F45+F66+F87+F106+F123+F142+F163+F195+F216+F230+F250+F284+F309+F331+F350</f>
        <v>680.0261800000001</v>
      </c>
      <c r="E368" s="27"/>
      <c r="F368" s="40" t="s">
        <v>65</v>
      </c>
      <c r="G368" s="27">
        <f>F31+F52+F73+F94+F112+F128+F149+F170+F202+F223+F257+F316+F338+F356</f>
        <v>573.346</v>
      </c>
      <c r="H368" s="3"/>
    </row>
    <row r="369" spans="1:8" ht="18.75" customHeight="1">
      <c r="A369" s="51"/>
      <c r="B369" s="26"/>
      <c r="C369" s="40" t="s">
        <v>66</v>
      </c>
      <c r="D369" s="78">
        <f>F25+F46+F67+F88+F107+F143+F164+F196+F217+F251+F270+F310+F332+F351</f>
        <v>381.52168</v>
      </c>
      <c r="E369" s="27"/>
      <c r="F369" s="40" t="s">
        <v>66</v>
      </c>
      <c r="G369" s="27">
        <f>F32+F53+F74+F95+F113+F150+F171+F203+F224+F258+F276+F317+F339+F357</f>
        <v>395.73902</v>
      </c>
      <c r="H369" s="3"/>
    </row>
    <row r="370" spans="1:9" ht="20.25" customHeight="1">
      <c r="A370" s="51"/>
      <c r="B370" s="26"/>
      <c r="C370" s="40" t="s">
        <v>67</v>
      </c>
      <c r="D370" s="78">
        <f>F26+F47+F68+F89+F108+F144+F165+F197+F218+F252+F271+F311+F333+F352</f>
        <v>768.7554200000001</v>
      </c>
      <c r="E370" s="27"/>
      <c r="F370" s="40" t="s">
        <v>67</v>
      </c>
      <c r="G370" s="27">
        <f>F33+F54+F75+F96+F114+F129+F151+F172+F204+F225+F259+F277+F318+F340+F358</f>
        <v>833.48173</v>
      </c>
      <c r="H370" s="3"/>
      <c r="I370" s="51"/>
    </row>
    <row r="371" spans="1:10" ht="16.5" customHeight="1">
      <c r="A371" s="51"/>
      <c r="B371" s="27"/>
      <c r="C371" s="40"/>
      <c r="D371" s="25"/>
      <c r="E371" s="27"/>
      <c r="F371" s="40"/>
      <c r="G371" s="27"/>
      <c r="H371" s="3"/>
      <c r="I371" s="51"/>
      <c r="J371" s="51"/>
    </row>
    <row r="372" spans="1:10" ht="18" customHeight="1">
      <c r="A372" s="51"/>
      <c r="B372" s="28"/>
      <c r="C372" s="40"/>
      <c r="D372" s="25"/>
      <c r="E372" s="27"/>
      <c r="F372" s="40"/>
      <c r="G372" s="27">
        <f>G364+G365+G366+G367+G368+G369+G370</f>
        <v>3517.88966</v>
      </c>
      <c r="H372" s="3">
        <f>H376+H377+H378+H382</f>
        <v>2830.7706399999997</v>
      </c>
      <c r="I372" s="51" t="s">
        <v>91</v>
      </c>
      <c r="J372" s="51"/>
    </row>
    <row r="373" spans="1:10" ht="21" customHeight="1">
      <c r="A373" s="51"/>
      <c r="B373" s="28"/>
      <c r="C373" s="40"/>
      <c r="D373" s="52">
        <f>SUM(D364:D370)</f>
        <v>4309.74417</v>
      </c>
      <c r="E373" s="27"/>
      <c r="F373" s="40"/>
      <c r="G373" s="27"/>
      <c r="H373" s="3"/>
      <c r="I373" s="51"/>
      <c r="J373" s="51"/>
    </row>
    <row r="374" spans="1:9" ht="15" customHeight="1">
      <c r="A374" s="51"/>
      <c r="B374" s="2"/>
      <c r="C374" s="3"/>
      <c r="F374" s="3"/>
      <c r="I374" s="51"/>
    </row>
    <row r="375" spans="1:9" ht="18.75" customHeight="1">
      <c r="A375" s="64" t="s">
        <v>73</v>
      </c>
      <c r="B375" s="135" t="s">
        <v>69</v>
      </c>
      <c r="C375" s="135"/>
      <c r="D375" s="135" t="s">
        <v>70</v>
      </c>
      <c r="E375" s="135"/>
      <c r="F375" s="61" t="s">
        <v>71</v>
      </c>
      <c r="G375" s="61" t="s">
        <v>72</v>
      </c>
      <c r="H375" s="39"/>
      <c r="I375" s="51"/>
    </row>
    <row r="376" spans="1:10" ht="21" customHeight="1">
      <c r="A376" s="61"/>
      <c r="B376" s="25" t="s">
        <v>61</v>
      </c>
      <c r="C376" s="92">
        <f>F27+F48+F69+F90+F125+F145+F166+C179</f>
        <v>154.2</v>
      </c>
      <c r="D376" s="93"/>
      <c r="E376" s="94">
        <f aca="true" t="shared" si="0" ref="E376:E382">F198+F219</f>
        <v>17</v>
      </c>
      <c r="F376" s="105">
        <f>F253+F272+F285</f>
        <v>109.844</v>
      </c>
      <c r="G376" s="95">
        <f>F319+F334+F353</f>
        <v>217.2</v>
      </c>
      <c r="H376" s="96">
        <f aca="true" t="shared" si="1" ref="H376:H382">C376+E376+F376+G376</f>
        <v>498.24399999999997</v>
      </c>
      <c r="I376" s="51"/>
      <c r="J376" s="2"/>
    </row>
    <row r="377" spans="1:9" ht="23.25">
      <c r="A377" s="51"/>
      <c r="B377" s="25" t="s">
        <v>62</v>
      </c>
      <c r="C377" s="92">
        <f>F28+F49+F70+F91+F109+F126+F146+F167</f>
        <v>109.048</v>
      </c>
      <c r="D377" s="97"/>
      <c r="E377" s="94">
        <f t="shared" si="0"/>
        <v>24</v>
      </c>
      <c r="F377" s="105">
        <f>F254+F273+F286+F294</f>
        <v>385.332</v>
      </c>
      <c r="G377" s="95">
        <f>F313+F335</f>
        <v>266.236</v>
      </c>
      <c r="H377" s="108">
        <f t="shared" si="1"/>
        <v>784.616</v>
      </c>
      <c r="I377" s="103">
        <v>688.602</v>
      </c>
    </row>
    <row r="378" spans="1:9" ht="20.25" customHeight="1">
      <c r="A378" s="51"/>
      <c r="B378" s="1" t="s">
        <v>63</v>
      </c>
      <c r="C378" s="92">
        <f>F29+F50+F71+F92+F110+F127+F147+F168</f>
        <v>147.92015</v>
      </c>
      <c r="D378" s="98"/>
      <c r="E378" s="99">
        <f t="shared" si="0"/>
        <v>52.54666</v>
      </c>
      <c r="F378" s="100">
        <f>F255+F274+F287</f>
        <v>206.5721</v>
      </c>
      <c r="G378" s="95">
        <f>F314+F336+F354</f>
        <v>101.38999999999999</v>
      </c>
      <c r="H378" s="96">
        <f t="shared" si="1"/>
        <v>508.42891</v>
      </c>
      <c r="I378" s="51"/>
    </row>
    <row r="379" spans="2:9" ht="18" customHeight="1">
      <c r="B379" s="40" t="s">
        <v>64</v>
      </c>
      <c r="C379" s="119">
        <f>F30+F51+F72+F93+F111+F148+F169+F130</f>
        <v>114.73128</v>
      </c>
      <c r="D379" s="101"/>
      <c r="E379" s="106">
        <f t="shared" si="0"/>
        <v>13</v>
      </c>
      <c r="F379" s="106">
        <f>F256+F275+F288</f>
        <v>224.33007</v>
      </c>
      <c r="G379" s="106">
        <f>F315+F337+F355</f>
        <v>222.6</v>
      </c>
      <c r="H379" s="120">
        <f t="shared" si="1"/>
        <v>574.66135</v>
      </c>
      <c r="I379" s="51"/>
    </row>
    <row r="380" spans="2:9" ht="18.75" customHeight="1">
      <c r="B380" s="40" t="s">
        <v>65</v>
      </c>
      <c r="C380" s="119">
        <f>F31+F52+F73+F94+F112+F128+F149+F170</f>
        <v>149.525</v>
      </c>
      <c r="D380" s="101"/>
      <c r="E380" s="106">
        <f>F202+F223+F232+F235</f>
        <v>168.96269</v>
      </c>
      <c r="F380" s="106">
        <f>F257+F289</f>
        <v>344.304</v>
      </c>
      <c r="G380" s="106">
        <f>F316+F338+F356</f>
        <v>359.01700000000005</v>
      </c>
      <c r="H380" s="120">
        <f t="shared" si="1"/>
        <v>1021.8086900000001</v>
      </c>
      <c r="I380" s="103">
        <v>-688.602</v>
      </c>
    </row>
    <row r="381" spans="2:9" ht="18.75" customHeight="1">
      <c r="B381" s="40" t="s">
        <v>66</v>
      </c>
      <c r="C381" s="119">
        <f>F32+F53+F74+F95+F113+F150+F171</f>
        <v>143.67002</v>
      </c>
      <c r="D381" s="101"/>
      <c r="E381" s="106">
        <f t="shared" si="0"/>
        <v>14.5</v>
      </c>
      <c r="F381" s="106">
        <f>F258+F276+F290</f>
        <v>198.56900000000002</v>
      </c>
      <c r="G381" s="106">
        <f>F317+F339+F357</f>
        <v>199</v>
      </c>
      <c r="H381" s="120">
        <f t="shared" si="1"/>
        <v>555.73902</v>
      </c>
      <c r="I381" s="51"/>
    </row>
    <row r="382" spans="2:9" ht="20.25" customHeight="1">
      <c r="B382" s="40" t="s">
        <v>67</v>
      </c>
      <c r="C382" s="92">
        <f>F33+F54+F75+F96+F114+F129+F151+F172</f>
        <v>182.68</v>
      </c>
      <c r="D382" s="97"/>
      <c r="E382" s="95">
        <f t="shared" si="0"/>
        <v>20</v>
      </c>
      <c r="F382" s="105">
        <f>F259+F277+F291</f>
        <v>700.18673</v>
      </c>
      <c r="G382" s="95">
        <f>F318+F340+F358</f>
        <v>136.615</v>
      </c>
      <c r="H382" s="96">
        <f t="shared" si="1"/>
        <v>1039.48173</v>
      </c>
      <c r="I382" s="51"/>
    </row>
    <row r="383" spans="2:9" ht="18.75" customHeight="1">
      <c r="B383" s="26"/>
      <c r="C383" s="62">
        <f>C376+C377+C378+C379+C380+C381+C382</f>
        <v>1001.7744499999999</v>
      </c>
      <c r="D383" s="3"/>
      <c r="E383" s="63">
        <f>E376+E377+E378+E379+E380+E381+E382</f>
        <v>310.00935000000004</v>
      </c>
      <c r="F383" s="63">
        <f>F376+F377+F378+F379+F380+F381+F382</f>
        <v>2169.1378999999997</v>
      </c>
      <c r="G383" s="63">
        <f>G376+G377+G378+G379+G380+G381+G382</f>
        <v>1502.0580000000002</v>
      </c>
      <c r="H383" s="63">
        <f>H376+H377+H378+H379+H380+H381+H382</f>
        <v>4982.9797</v>
      </c>
      <c r="I383" s="51"/>
    </row>
    <row r="384" spans="2:9" ht="18.75" customHeight="1">
      <c r="B384" s="27"/>
      <c r="E384" s="27"/>
      <c r="F384" s="3"/>
      <c r="I384" s="51"/>
    </row>
    <row r="385" spans="2:9" ht="18.75" customHeight="1">
      <c r="B385" s="28"/>
      <c r="C385" s="123">
        <f>C376+C377+C378+C382</f>
        <v>593.84815</v>
      </c>
      <c r="D385" s="123"/>
      <c r="E385" s="124">
        <f>E376+E377+E378+E382</f>
        <v>113.54666</v>
      </c>
      <c r="F385" s="123">
        <f>F376+F377+F378+F382</f>
        <v>1401.9348300000001</v>
      </c>
      <c r="G385" s="123">
        <f>G376+G377+G378+G382</f>
        <v>721.441</v>
      </c>
      <c r="H385" s="122">
        <f>H376+H377+H378+H382</f>
        <v>2830.7706399999997</v>
      </c>
      <c r="I385" s="51"/>
    </row>
    <row r="386" spans="2:9" ht="17.25" customHeight="1">
      <c r="B386" s="28"/>
      <c r="E386" s="28"/>
      <c r="F386" s="3"/>
      <c r="I386" s="51"/>
    </row>
    <row r="387" spans="3:9" ht="15">
      <c r="C387" s="26">
        <v>593.84815</v>
      </c>
      <c r="D387" s="26"/>
      <c r="E387" s="27">
        <v>113.54666</v>
      </c>
      <c r="F387" s="26">
        <v>1401.93483</v>
      </c>
      <c r="G387" s="26">
        <v>721.441</v>
      </c>
      <c r="H387" s="28">
        <f>H376+H377+H378+H382</f>
        <v>2830.7706399999997</v>
      </c>
      <c r="I387" s="51"/>
    </row>
    <row r="388" spans="6:9" ht="12.75">
      <c r="F388" s="3"/>
      <c r="I388" s="51"/>
    </row>
    <row r="389" ht="12.75">
      <c r="I389" s="51"/>
    </row>
    <row r="390" spans="3:9" ht="19.5" customHeight="1">
      <c r="C390" s="121">
        <f>C387-C385</f>
        <v>0</v>
      </c>
      <c r="D390" s="121"/>
      <c r="E390" s="121">
        <f>E387-E385</f>
        <v>0</v>
      </c>
      <c r="F390" s="121">
        <f>F387-F385</f>
        <v>0</v>
      </c>
      <c r="G390" s="121">
        <f>G387-G385</f>
        <v>0</v>
      </c>
      <c r="H390" s="121">
        <f>H379+H380+H381+H385</f>
        <v>4982.9797</v>
      </c>
      <c r="I390" s="51"/>
    </row>
    <row r="391" ht="12.75">
      <c r="I391" s="51"/>
    </row>
  </sheetData>
  <sheetProtection selectLockedCells="1" selectUnlockedCells="1"/>
  <mergeCells count="179">
    <mergeCell ref="B375:C375"/>
    <mergeCell ref="D375:E375"/>
    <mergeCell ref="A341:A358"/>
    <mergeCell ref="B341:B346"/>
    <mergeCell ref="C341:C346"/>
    <mergeCell ref="B347:B352"/>
    <mergeCell ref="C347:C352"/>
    <mergeCell ref="B353:B358"/>
    <mergeCell ref="C353:C358"/>
    <mergeCell ref="B320:B326"/>
    <mergeCell ref="C320:C326"/>
    <mergeCell ref="B327:B333"/>
    <mergeCell ref="C327:C333"/>
    <mergeCell ref="B334:B340"/>
    <mergeCell ref="C334:C340"/>
    <mergeCell ref="A299:A319"/>
    <mergeCell ref="B299:B305"/>
    <mergeCell ref="C299:C305"/>
    <mergeCell ref="I299:I318"/>
    <mergeCell ref="K305:K325"/>
    <mergeCell ref="B306:B312"/>
    <mergeCell ref="C306:C312"/>
    <mergeCell ref="B313:B319"/>
    <mergeCell ref="C313:C319"/>
    <mergeCell ref="A320:A340"/>
    <mergeCell ref="A292:A294"/>
    <mergeCell ref="B292:B293"/>
    <mergeCell ref="C292:C293"/>
    <mergeCell ref="A296:I296"/>
    <mergeCell ref="A297:I297"/>
    <mergeCell ref="A298:I298"/>
    <mergeCell ref="A278:A291"/>
    <mergeCell ref="B278:B281"/>
    <mergeCell ref="C278:C281"/>
    <mergeCell ref="D278:D281"/>
    <mergeCell ref="B282:B284"/>
    <mergeCell ref="C282:C284"/>
    <mergeCell ref="B285:B291"/>
    <mergeCell ref="C285:C291"/>
    <mergeCell ref="A260:A277"/>
    <mergeCell ref="B260:B265"/>
    <mergeCell ref="C260:C265"/>
    <mergeCell ref="I260:I264"/>
    <mergeCell ref="B266:B271"/>
    <mergeCell ref="C266:C271"/>
    <mergeCell ref="B272:B277"/>
    <mergeCell ref="C272:C277"/>
    <mergeCell ref="A237:I237"/>
    <mergeCell ref="A238:I238"/>
    <mergeCell ref="A239:A259"/>
    <mergeCell ref="B239:B245"/>
    <mergeCell ref="C239:C245"/>
    <mergeCell ref="I239:I259"/>
    <mergeCell ref="B246:B252"/>
    <mergeCell ref="C246:C252"/>
    <mergeCell ref="B253:B259"/>
    <mergeCell ref="C253:C259"/>
    <mergeCell ref="E228:E229"/>
    <mergeCell ref="A230:A232"/>
    <mergeCell ref="B230:B231"/>
    <mergeCell ref="C230:C231"/>
    <mergeCell ref="A233:A235"/>
    <mergeCell ref="A236:I236"/>
    <mergeCell ref="A226:A227"/>
    <mergeCell ref="B226:B227"/>
    <mergeCell ref="C226:C227"/>
    <mergeCell ref="D226:D227"/>
    <mergeCell ref="A228:A229"/>
    <mergeCell ref="B228:B229"/>
    <mergeCell ref="C228:C229"/>
    <mergeCell ref="D228:D229"/>
    <mergeCell ref="A205:A225"/>
    <mergeCell ref="B205:B211"/>
    <mergeCell ref="C205:C211"/>
    <mergeCell ref="I205:I225"/>
    <mergeCell ref="B212:B218"/>
    <mergeCell ref="C212:C218"/>
    <mergeCell ref="B219:B225"/>
    <mergeCell ref="C219:C225"/>
    <mergeCell ref="A184:A204"/>
    <mergeCell ref="B184:B190"/>
    <mergeCell ref="C184:C190"/>
    <mergeCell ref="I184:I204"/>
    <mergeCell ref="B191:B197"/>
    <mergeCell ref="C191:C197"/>
    <mergeCell ref="B198:B204"/>
    <mergeCell ref="C198:C204"/>
    <mergeCell ref="H173:H176"/>
    <mergeCell ref="I173:I177"/>
    <mergeCell ref="A178:A179"/>
    <mergeCell ref="A180:I180"/>
    <mergeCell ref="A181:I181"/>
    <mergeCell ref="A182:I182"/>
    <mergeCell ref="A173:A177"/>
    <mergeCell ref="B173:B177"/>
    <mergeCell ref="C173:C177"/>
    <mergeCell ref="E173:E176"/>
    <mergeCell ref="F173:F176"/>
    <mergeCell ref="G173:G176"/>
    <mergeCell ref="A152:A172"/>
    <mergeCell ref="B152:B158"/>
    <mergeCell ref="C152:C158"/>
    <mergeCell ref="I152:I172"/>
    <mergeCell ref="B159:B165"/>
    <mergeCell ref="C159:C165"/>
    <mergeCell ref="B166:B172"/>
    <mergeCell ref="C166:C172"/>
    <mergeCell ref="A131:A151"/>
    <mergeCell ref="B131:B137"/>
    <mergeCell ref="C131:C137"/>
    <mergeCell ref="I131:I151"/>
    <mergeCell ref="B138:B144"/>
    <mergeCell ref="C138:C144"/>
    <mergeCell ref="B145:B151"/>
    <mergeCell ref="C145:C151"/>
    <mergeCell ref="I115:I129"/>
    <mergeCell ref="B120:B124"/>
    <mergeCell ref="C120:C124"/>
    <mergeCell ref="B125:B130"/>
    <mergeCell ref="C125:C130"/>
    <mergeCell ref="D125:D130"/>
    <mergeCell ref="C103:C108"/>
    <mergeCell ref="B109:B114"/>
    <mergeCell ref="C109:C114"/>
    <mergeCell ref="A115:A130"/>
    <mergeCell ref="B115:B119"/>
    <mergeCell ref="C115:C119"/>
    <mergeCell ref="I76:I96"/>
    <mergeCell ref="B83:B89"/>
    <mergeCell ref="C83:C89"/>
    <mergeCell ref="B90:B96"/>
    <mergeCell ref="C90:C96"/>
    <mergeCell ref="A97:A114"/>
    <mergeCell ref="B97:B102"/>
    <mergeCell ref="C97:C102"/>
    <mergeCell ref="I97:I114"/>
    <mergeCell ref="B103:B108"/>
    <mergeCell ref="C62:C68"/>
    <mergeCell ref="B69:B75"/>
    <mergeCell ref="C69:C75"/>
    <mergeCell ref="A76:A96"/>
    <mergeCell ref="B76:B82"/>
    <mergeCell ref="C76:C82"/>
    <mergeCell ref="I34:I54"/>
    <mergeCell ref="B41:B47"/>
    <mergeCell ref="C41:C47"/>
    <mergeCell ref="B48:B54"/>
    <mergeCell ref="C48:C54"/>
    <mergeCell ref="A55:A75"/>
    <mergeCell ref="B55:B61"/>
    <mergeCell ref="C55:C61"/>
    <mergeCell ref="I55:I75"/>
    <mergeCell ref="B62:B68"/>
    <mergeCell ref="C20:C26"/>
    <mergeCell ref="B27:B33"/>
    <mergeCell ref="C27:C33"/>
    <mergeCell ref="A34:A54"/>
    <mergeCell ref="B34:B40"/>
    <mergeCell ref="C34:C40"/>
    <mergeCell ref="G6:G7"/>
    <mergeCell ref="A9:I9"/>
    <mergeCell ref="A10:I10"/>
    <mergeCell ref="A11:I11"/>
    <mergeCell ref="A12:I12"/>
    <mergeCell ref="A13:A33"/>
    <mergeCell ref="B13:B19"/>
    <mergeCell ref="C13:C19"/>
    <mergeCell ref="I13:I33"/>
    <mergeCell ref="B20:B26"/>
    <mergeCell ref="B1:I1"/>
    <mergeCell ref="A3:I3"/>
    <mergeCell ref="A5:A7"/>
    <mergeCell ref="B5:B7"/>
    <mergeCell ref="C5:C7"/>
    <mergeCell ref="D5:G5"/>
    <mergeCell ref="H5:H7"/>
    <mergeCell ref="I5:I7"/>
    <mergeCell ref="D6:D7"/>
    <mergeCell ref="E6:F6"/>
  </mergeCells>
  <printOptions/>
  <pageMargins left="0.1968503937007874" right="0.1968503937007874" top="0.5905511811023623" bottom="0.31496062992125984" header="0.5118110236220472" footer="0.6299212598425197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Sekretar</cp:lastModifiedBy>
  <cp:lastPrinted>2017-01-05T06:49:04Z</cp:lastPrinted>
  <dcterms:created xsi:type="dcterms:W3CDTF">2012-09-03T04:07:00Z</dcterms:created>
  <dcterms:modified xsi:type="dcterms:W3CDTF">2017-01-30T12:34:58Z</dcterms:modified>
  <cp:category/>
  <cp:version/>
  <cp:contentType/>
  <cp:contentStatus/>
</cp:coreProperties>
</file>