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0"/>
  </bookViews>
  <sheets>
    <sheet name="Изменения  от 03.08.20г. " sheetId="1" r:id="rId1"/>
  </sheets>
  <definedNames>
    <definedName name="_xlnm.Print_Titles" localSheetId="0">'Изменения  от 03.08.20г. '!$5:$10</definedName>
    <definedName name="_xlnm.Print_Area" localSheetId="0">'Изменения  от 03.08.20г. '!$A$1:$M$444</definedName>
  </definedNames>
  <calcPr fullCalcOnLoad="1"/>
</workbook>
</file>

<file path=xl/sharedStrings.xml><?xml version="1.0" encoding="utf-8"?>
<sst xmlns="http://schemas.openxmlformats.org/spreadsheetml/2006/main" count="610" uniqueCount="276">
  <si>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</si>
  <si>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</si>
  <si>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</si>
  <si>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</si>
  <si>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</si>
  <si>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</si>
  <si>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</si>
  <si>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</si>
  <si>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</si>
  <si>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</si>
  <si>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</si>
  <si>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</si>
  <si>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</si>
  <si>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</si>
  <si>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</si>
  <si>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</si>
  <si>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</si>
  <si>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</si>
  <si>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</si>
  <si>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</si>
  <si>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</si>
  <si>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</si>
  <si>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</si>
  <si>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</si>
  <si>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</si>
  <si>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</si>
  <si>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</si>
  <si>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</si>
  <si>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</si>
  <si>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</si>
  <si>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</si>
  <si>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</si>
  <si>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</si>
  <si>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</si>
  <si>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</si>
  <si>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</si>
  <si>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</si>
  <si>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</si>
  <si>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</si>
  <si>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</si>
  <si>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</si>
  <si>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</si>
  <si>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</si>
  <si>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</si>
  <si>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</si>
  <si>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</si>
  <si>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</si>
  <si>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</si>
  <si>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</si>
  <si>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</si>
  <si>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</si>
  <si>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</si>
  <si>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</si>
  <si>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</si>
  <si>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</si>
  <si>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</si>
  <si>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</si>
  <si>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</si>
  <si>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</si>
  <si>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</si>
  <si>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</si>
  <si>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</si>
  <si>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</si>
  <si>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</si>
  <si>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</si>
  <si>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</si>
  <si>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</si>
  <si>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</si>
  <si>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</si>
  <si>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</si>
  <si>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</si>
  <si>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</si>
  <si>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</si>
  <si>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</si>
  <si>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</si>
  <si>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</si>
  <si>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</si>
  <si>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</si>
  <si>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</si>
  <si>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</si>
  <si>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</si>
  <si>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</si>
  <si>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</si>
  <si>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</si>
  <si>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</si>
  <si>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</si>
  <si>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</si>
  <si>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</si>
  <si>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</si>
  <si>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</si>
  <si>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</si>
  <si>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</si>
  <si>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</si>
  <si>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</si>
  <si>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</si>
  <si>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</si>
  <si>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</si>
  <si>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</si>
  <si>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</si>
  <si>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</si>
  <si>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</si>
  <si>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</si>
  <si>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</si>
  <si>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</si>
  <si>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</si>
  <si>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</si>
  <si>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</si>
  <si>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</si>
  <si>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</si>
  <si>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</si>
  <si>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</si>
  <si>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</si>
  <si>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</si>
  <si>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</si>
  <si>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</si>
  <si>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</si>
  <si>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</si>
  <si>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</si>
  <si>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</si>
  <si>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</si>
  <si>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</si>
  <si>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</si>
  <si>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</si>
  <si>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</si>
  <si>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</si>
  <si>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</si>
  <si>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</si>
  <si>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</si>
  <si>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</si>
  <si>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</si>
  <si>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безопасности дорожного движения</t>
  </si>
  <si>
    <t>ДОУ № 3</t>
  </si>
  <si>
    <t>ДОУ № 5</t>
  </si>
  <si>
    <t>ДОУ № 6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</si>
  <si>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</si>
  <si>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</si>
  <si>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</si>
  <si>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</si>
  <si>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</si>
  <si>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</si>
  <si>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</si>
  <si>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</si>
  <si>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</si>
  <si>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</si>
  <si>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</si>
  <si>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</si>
  <si>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</si>
  <si>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</si>
  <si>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</si>
  <si>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</si>
  <si>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</si>
  <si>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</si>
  <si>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</si>
  <si>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</si>
  <si>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</si>
  <si>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</si>
  <si>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</si>
  <si>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</si>
  <si>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</si>
  <si>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</si>
  <si>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</si>
  <si>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</si>
  <si>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</si>
  <si>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</si>
  <si>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</si>
  <si>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</si>
  <si>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</si>
  <si>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</si>
  <si>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</si>
  <si>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</si>
  <si>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</si>
  <si>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</si>
  <si>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</si>
  <si>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</si>
  <si>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  4.Повышение компетентности родителей (законных предсставителей) в вопросах воспитания и образования дедей.
</t>
  </si>
  <si>
    <t>Управление образования, СОШ № 1</t>
  </si>
  <si>
    <t>Проведение специальной оценки условий труда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</si>
  <si>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</si>
  <si>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</si>
  <si>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</si>
  <si>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</si>
  <si>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</si>
  <si>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</si>
  <si>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</si>
  <si>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управление образования</t>
  </si>
  <si>
    <t>сош №1</t>
  </si>
  <si>
    <t xml:space="preserve">Установка камер видеонаблюдения </t>
  </si>
  <si>
    <t>сош 1</t>
  </si>
  <si>
    <t>сош 2</t>
  </si>
  <si>
    <t>ДОУ 5</t>
  </si>
  <si>
    <t>Оснащение охранной сигнализации (в т.ч. установкаэлектронных заиков для разблокировки на двери запасных выходов)</t>
  </si>
  <si>
    <t>Замена входных дверей главного запасного входа</t>
  </si>
  <si>
    <t>Синхронизация СКУД и домофонов</t>
  </si>
  <si>
    <t>ДОУ 3</t>
  </si>
  <si>
    <t>Приобретение аккууляторов для КТС</t>
  </si>
  <si>
    <t>Оснащение въездов на объект средствами снижения скорости</t>
  </si>
  <si>
    <t>ДОУ 6</t>
  </si>
  <si>
    <t>ЦВР  "Лад"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</si>
  <si>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</si>
  <si>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2.5.1.</t>
  </si>
  <si>
    <t>2.5.2</t>
  </si>
  <si>
    <t>2.5.3.</t>
  </si>
  <si>
    <t>2.5.4.</t>
  </si>
  <si>
    <t>2.5.5.</t>
  </si>
  <si>
    <t>2.5.6.</t>
  </si>
  <si>
    <t>Антитеррористическая безопасность.                             Паспорта безопасности</t>
  </si>
  <si>
    <t>1.2.2.</t>
  </si>
  <si>
    <t>Премия отличникам учебы</t>
  </si>
  <si>
    <t xml:space="preserve">Устройство исистемы видеонаблюения спортивно-игровой площадки на межшкольном стадионе </t>
  </si>
  <si>
    <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</si>
  <si>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ГКМХ СОШ № 1 -софин-е</t>
  </si>
  <si>
    <t>ЦВР (дол)</t>
  </si>
  <si>
    <t xml:space="preserve"> ЦВР "Лад"(все расходы)</t>
  </si>
  <si>
    <t xml:space="preserve"> ЦВР "Лад" (софин.)</t>
  </si>
  <si>
    <t>ЦВР (софинанс к обл)</t>
  </si>
  <si>
    <t>ЦВР (софинанс к обл.)</t>
  </si>
  <si>
    <t xml:space="preserve"> ЦВР "Лад"(мун зад)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</si>
  <si>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</si>
  <si>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</si>
  <si>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Ожидаемые результаты:                                   Показатели оценки эффективности  (качественные, количественные)</t>
  </si>
  <si>
    <t>1.Е1.1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</si>
  <si>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</si>
  <si>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</si>
  <si>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</si>
  <si>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>1.Е3.1</t>
  </si>
  <si>
    <t xml:space="preserve">сош № 2 </t>
  </si>
  <si>
    <t>1.10</t>
  </si>
  <si>
    <t>1.Е4.1</t>
  </si>
  <si>
    <t>2021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</si>
  <si>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</si>
  <si>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</si>
  <si>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</si>
  <si>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</si>
  <si>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</si>
  <si>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</si>
  <si>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</si>
  <si>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</si>
  <si>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</si>
  <si>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</si>
  <si>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</si>
  <si>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</si>
  <si>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</si>
  <si>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</si>
  <si>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</si>
  <si>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</si>
  <si>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сош № 1     сош № 2</t>
  </si>
  <si>
    <t>Итого по нац проектам</t>
  </si>
  <si>
    <t>Итого</t>
  </si>
  <si>
    <t xml:space="preserve">Всего 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</si>
  <si>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</si>
  <si>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</si>
  <si>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</si>
  <si>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</si>
  <si>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</si>
  <si>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r>
      <rPr>
        <b/>
        <sz val="16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6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</si>
  <si>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rPr>
        <b/>
        <sz val="16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6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</si>
  <si>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rPr>
        <b/>
        <sz val="16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6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</si>
  <si>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rPr>
        <b/>
        <sz val="14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</si>
  <si>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</si>
  <si>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1.13.</t>
  </si>
  <si>
    <t>МКУ "ГКМХ"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</si>
  <si>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</si>
  <si>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</si>
  <si>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r>
      <rPr>
        <b/>
        <sz val="16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6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годах"</t>
    </r>
  </si>
  <si>
    <t>МБОУ СОШ 1, СОШ 2</t>
  </si>
  <si>
    <t>2.6.</t>
  </si>
  <si>
    <t>ДОУ  № 3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</si>
  <si>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</si>
  <si>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</si>
  <si>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</si>
  <si>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Классное руководство</t>
  </si>
  <si>
    <t>3.3.</t>
  </si>
  <si>
    <t>1.2.1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</si>
  <si>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</si>
  <si>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1.14.</t>
  </si>
  <si>
    <t>1.15.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</si>
</sst>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  <numFmt numFmtId="194" formatCode="_-* #,##0.00000\ _₽_-;\-* #,##0.00000\ _₽_-;_-* &quot;-&quot;????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4"/>
      <color indexed="3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2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78" fontId="7" fillId="0" borderId="10" xfId="6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78" fontId="8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8" fontId="8" fillId="0" borderId="18" xfId="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 wrapText="1"/>
    </xf>
    <xf numFmtId="2" fontId="10" fillId="0" borderId="10" xfId="6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171" fontId="7" fillId="0" borderId="10" xfId="6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" fontId="9" fillId="0" borderId="21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7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16" fontId="4" fillId="0" borderId="25" xfId="0" applyNumberFormat="1" applyFont="1" applyFill="1" applyBorder="1" applyAlignment="1">
      <alignment horizontal="center" vertical="center" wrapText="1"/>
    </xf>
    <xf numFmtId="16" fontId="4" fillId="0" borderId="26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178" fontId="8" fillId="0" borderId="18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8" fontId="8" fillId="0" borderId="27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3" fillId="0" borderId="27" xfId="0" applyNumberFormat="1" applyFont="1" applyFill="1" applyBorder="1" applyAlignment="1">
      <alignment vertical="top" wrapText="1"/>
    </xf>
    <xf numFmtId="178" fontId="8" fillId="0" borderId="27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vertical="center" wrapText="1"/>
    </xf>
    <xf numFmtId="2" fontId="3" fillId="0" borderId="11" xfId="60" applyNumberFormat="1" applyFont="1" applyFill="1" applyBorder="1" applyAlignment="1">
      <alignment horizontal="center" vertical="center" wrapText="1"/>
    </xf>
    <xf numFmtId="178" fontId="8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/>
    </xf>
    <xf numFmtId="178" fontId="3" fillId="0" borderId="12" xfId="60" applyNumberFormat="1" applyFont="1" applyFill="1" applyBorder="1" applyAlignment="1">
      <alignment horizontal="center" vertical="center" wrapText="1"/>
    </xf>
    <xf numFmtId="178" fontId="7" fillId="0" borderId="18" xfId="60" applyNumberFormat="1" applyFont="1" applyFill="1" applyBorder="1" applyAlignment="1">
      <alignment horizontal="center" vertical="center" wrapText="1"/>
    </xf>
    <xf numFmtId="178" fontId="8" fillId="0" borderId="18" xfId="60" applyNumberFormat="1" applyFont="1" applyFill="1" applyBorder="1" applyAlignment="1">
      <alignment horizontal="center" vertical="center" wrapText="1"/>
    </xf>
    <xf numFmtId="178" fontId="3" fillId="0" borderId="18" xfId="6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8" fillId="0" borderId="19" xfId="60" applyNumberFormat="1" applyFont="1" applyFill="1" applyBorder="1" applyAlignment="1">
      <alignment horizontal="center" vertical="center" wrapText="1"/>
    </xf>
    <xf numFmtId="178" fontId="8" fillId="0" borderId="27" xfId="6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78" fontId="7" fillId="0" borderId="23" xfId="60" applyNumberFormat="1" applyFont="1" applyFill="1" applyBorder="1" applyAlignment="1">
      <alignment horizontal="center" vertical="center" wrapText="1"/>
    </xf>
    <xf numFmtId="178" fontId="8" fillId="0" borderId="23" xfId="60" applyNumberFormat="1" applyFont="1" applyFill="1" applyBorder="1" applyAlignment="1">
      <alignment horizontal="center" vertical="center" wrapText="1"/>
    </xf>
    <xf numFmtId="178" fontId="3" fillId="0" borderId="23" xfId="6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2" fontId="4" fillId="0" borderId="11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top" wrapText="1"/>
    </xf>
    <xf numFmtId="178" fontId="8" fillId="0" borderId="12" xfId="60" applyNumberFormat="1" applyFont="1" applyFill="1" applyBorder="1" applyAlignment="1">
      <alignment horizontal="center" vertical="top" wrapText="1"/>
    </xf>
    <xf numFmtId="178" fontId="3" fillId="0" borderId="12" xfId="6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8" fontId="7" fillId="0" borderId="18" xfId="60" applyNumberFormat="1" applyFont="1" applyFill="1" applyBorder="1" applyAlignment="1">
      <alignment horizontal="center" wrapText="1"/>
    </xf>
    <xf numFmtId="178" fontId="7" fillId="0" borderId="18" xfId="60" applyNumberFormat="1" applyFont="1" applyFill="1" applyBorder="1" applyAlignment="1">
      <alignment horizontal="center" vertical="top" wrapText="1"/>
    </xf>
    <xf numFmtId="178" fontId="8" fillId="0" borderId="18" xfId="60" applyNumberFormat="1" applyFont="1" applyFill="1" applyBorder="1" applyAlignment="1">
      <alignment horizontal="center" vertical="top" wrapText="1"/>
    </xf>
    <xf numFmtId="178" fontId="4" fillId="0" borderId="18" xfId="6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78" fontId="8" fillId="0" borderId="19" xfId="60" applyNumberFormat="1" applyFont="1" applyFill="1" applyBorder="1" applyAlignment="1">
      <alignment horizontal="center" vertical="top" wrapText="1"/>
    </xf>
    <xf numFmtId="178" fontId="8" fillId="0" borderId="27" xfId="60" applyNumberFormat="1" applyFont="1" applyFill="1" applyBorder="1" applyAlignment="1">
      <alignment horizontal="center" vertical="top" wrapText="1"/>
    </xf>
    <xf numFmtId="178" fontId="7" fillId="0" borderId="12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vertical="top" wrapText="1"/>
    </xf>
    <xf numFmtId="178" fontId="9" fillId="0" borderId="10" xfId="6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178" fontId="8" fillId="0" borderId="23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178" fontId="7" fillId="0" borderId="13" xfId="60" applyNumberFormat="1" applyFont="1" applyFill="1" applyBorder="1" applyAlignment="1">
      <alignment horizontal="center" vertical="center" wrapText="1"/>
    </xf>
    <xf numFmtId="178" fontId="3" fillId="0" borderId="13" xfId="6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6" xfId="60" applyNumberFormat="1" applyFont="1" applyFill="1" applyBorder="1" applyAlignment="1">
      <alignment horizontal="center" vertical="center" wrapText="1"/>
    </xf>
    <xf numFmtId="178" fontId="3" fillId="0" borderId="16" xfId="60" applyNumberFormat="1" applyFont="1" applyFill="1" applyBorder="1" applyAlignment="1">
      <alignment horizontal="center" vertical="center" wrapText="1"/>
    </xf>
    <xf numFmtId="2" fontId="3" fillId="0" borderId="16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3" fillId="0" borderId="18" xfId="6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top" wrapText="1"/>
    </xf>
    <xf numFmtId="190" fontId="7" fillId="0" borderId="10" xfId="6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7" fillId="0" borderId="12" xfId="6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178" fontId="9" fillId="0" borderId="18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9" fillId="0" borderId="10" xfId="6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top" wrapText="1"/>
    </xf>
    <xf numFmtId="178" fontId="7" fillId="0" borderId="19" xfId="60" applyNumberFormat="1" applyFont="1" applyFill="1" applyBorder="1" applyAlignment="1">
      <alignment horizontal="center" vertical="center" wrapText="1"/>
    </xf>
    <xf numFmtId="2" fontId="3" fillId="0" borderId="12" xfId="60" applyNumberFormat="1" applyFont="1" applyFill="1" applyBorder="1" applyAlignment="1">
      <alignment horizontal="center" vertical="center" wrapText="1"/>
    </xf>
    <xf numFmtId="2" fontId="3" fillId="0" borderId="24" xfId="60" applyNumberFormat="1" applyFont="1" applyFill="1" applyBorder="1" applyAlignment="1">
      <alignment horizontal="center" vertical="center" wrapText="1"/>
    </xf>
    <xf numFmtId="178" fontId="4" fillId="0" borderId="27" xfId="60" applyNumberFormat="1" applyFont="1" applyFill="1" applyBorder="1" applyAlignment="1">
      <alignment horizontal="center" vertical="center" wrapText="1"/>
    </xf>
    <xf numFmtId="2" fontId="4" fillId="0" borderId="24" xfId="60" applyNumberFormat="1" applyFont="1" applyFill="1" applyBorder="1" applyAlignment="1">
      <alignment horizontal="center" vertical="center" wrapText="1"/>
    </xf>
    <xf numFmtId="178" fontId="3" fillId="0" borderId="19" xfId="60" applyNumberFormat="1" applyFont="1" applyFill="1" applyBorder="1" applyAlignment="1">
      <alignment horizontal="center" vertical="center" wrapText="1"/>
    </xf>
    <xf numFmtId="2" fontId="3" fillId="0" borderId="27" xfId="6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top" wrapText="1"/>
    </xf>
    <xf numFmtId="178" fontId="8" fillId="0" borderId="36" xfId="60" applyNumberFormat="1" applyFont="1" applyFill="1" applyBorder="1" applyAlignment="1">
      <alignment horizontal="center" vertical="top" wrapText="1"/>
    </xf>
    <xf numFmtId="178" fontId="8" fillId="0" borderId="37" xfId="60" applyNumberFormat="1" applyFont="1" applyFill="1" applyBorder="1" applyAlignment="1">
      <alignment horizontal="center" vertical="top" wrapText="1"/>
    </xf>
    <xf numFmtId="2" fontId="3" fillId="0" borderId="31" xfId="6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top" wrapText="1"/>
    </xf>
    <xf numFmtId="178" fontId="8" fillId="0" borderId="39" xfId="0" applyNumberFormat="1" applyFont="1" applyFill="1" applyBorder="1" applyAlignment="1">
      <alignment horizontal="center" vertical="center" wrapText="1"/>
    </xf>
    <xf numFmtId="178" fontId="8" fillId="0" borderId="29" xfId="0" applyNumberFormat="1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center" vertical="center" wrapText="1"/>
    </xf>
    <xf numFmtId="2" fontId="11" fillId="0" borderId="39" xfId="60" applyNumberFormat="1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 wrapText="1"/>
    </xf>
    <xf numFmtId="2" fontId="3" fillId="0" borderId="26" xfId="60" applyNumberFormat="1" applyFont="1" applyFill="1" applyBorder="1" applyAlignment="1">
      <alignment vertical="center" wrapText="1"/>
    </xf>
    <xf numFmtId="2" fontId="3" fillId="0" borderId="31" xfId="60" applyNumberFormat="1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178" fontId="7" fillId="0" borderId="42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16" fontId="9" fillId="0" borderId="25" xfId="0" applyNumberFormat="1" applyFont="1" applyFill="1" applyBorder="1" applyAlignment="1">
      <alignment horizontal="center" vertical="top" wrapText="1"/>
    </xf>
    <xf numFmtId="16" fontId="9" fillId="0" borderId="26" xfId="0" applyNumberFormat="1" applyFont="1" applyFill="1" applyBorder="1" applyAlignment="1">
      <alignment horizontal="center" vertical="top" wrapText="1"/>
    </xf>
    <xf numFmtId="16" fontId="9" fillId="0" borderId="43" xfId="0" applyNumberFormat="1" applyFont="1" applyFill="1" applyBorder="1" applyAlignment="1">
      <alignment horizontal="center" vertical="top" wrapText="1"/>
    </xf>
    <xf numFmtId="16" fontId="9" fillId="0" borderId="44" xfId="0" applyNumberFormat="1" applyFont="1" applyFill="1" applyBorder="1" applyAlignment="1">
      <alignment horizontal="center" vertical="top" wrapText="1"/>
    </xf>
    <xf numFmtId="16" fontId="9" fillId="0" borderId="30" xfId="0" applyNumberFormat="1" applyFont="1" applyFill="1" applyBorder="1" applyAlignment="1">
      <alignment horizontal="center" vertical="top" wrapText="1"/>
    </xf>
    <xf numFmtId="16" fontId="9" fillId="0" borderId="3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0" fillId="0" borderId="4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41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/>
    </xf>
    <xf numFmtId="0" fontId="0" fillId="0" borderId="11" xfId="0" applyFill="1" applyBorder="1" applyAlignment="1">
      <alignment/>
    </xf>
    <xf numFmtId="16" fontId="9" fillId="0" borderId="28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vertical="top" wrapText="1"/>
    </xf>
    <xf numFmtId="16" fontId="6" fillId="0" borderId="26" xfId="0" applyNumberFormat="1" applyFont="1" applyFill="1" applyBorder="1" applyAlignment="1">
      <alignment horizontal="left" vertical="top" wrapText="1"/>
    </xf>
    <xf numFmtId="16" fontId="6" fillId="0" borderId="43" xfId="0" applyNumberFormat="1" applyFont="1" applyFill="1" applyBorder="1" applyAlignment="1">
      <alignment horizontal="left" vertical="top" wrapText="1"/>
    </xf>
    <xf numFmtId="16" fontId="6" fillId="0" borderId="44" xfId="0" applyNumberFormat="1" applyFont="1" applyFill="1" applyBorder="1" applyAlignment="1">
      <alignment horizontal="left" vertical="top" wrapText="1"/>
    </xf>
    <xf numFmtId="16" fontId="6" fillId="0" borderId="30" xfId="0" applyNumberFormat="1" applyFont="1" applyFill="1" applyBorder="1" applyAlignment="1">
      <alignment horizontal="left" vertical="top" wrapText="1"/>
    </xf>
    <xf numFmtId="16" fontId="6" fillId="0" borderId="3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wrapText="1"/>
    </xf>
    <xf numFmtId="0" fontId="6" fillId="0" borderId="43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wrapText="1"/>
    </xf>
    <xf numFmtId="0" fontId="0" fillId="0" borderId="4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45" xfId="0" applyFill="1" applyBorder="1" applyAlignment="1">
      <alignment horizontal="left" vertical="top"/>
    </xf>
    <xf numFmtId="0" fontId="0" fillId="0" borderId="4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vertical="top"/>
    </xf>
    <xf numFmtId="0" fontId="6" fillId="0" borderId="57" xfId="0" applyNumberFormat="1" applyFont="1" applyFill="1" applyBorder="1" applyAlignment="1">
      <alignment vertical="top"/>
    </xf>
    <xf numFmtId="0" fontId="6" fillId="0" borderId="35" xfId="0" applyNumberFormat="1" applyFont="1" applyFill="1" applyBorder="1" applyAlignment="1">
      <alignment vertical="top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top"/>
    </xf>
    <xf numFmtId="49" fontId="6" fillId="0" borderId="57" xfId="0" applyNumberFormat="1" applyFont="1" applyFill="1" applyBorder="1" applyAlignment="1">
      <alignment horizontal="center" vertical="top"/>
    </xf>
    <xf numFmtId="49" fontId="6" fillId="0" borderId="35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3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79" fontId="3" fillId="0" borderId="34" xfId="0" applyNumberFormat="1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16" fontId="5" fillId="0" borderId="12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15" fillId="0" borderId="25" xfId="0" applyNumberFormat="1" applyFont="1" applyFill="1" applyBorder="1" applyAlignment="1">
      <alignment horizontal="center" vertical="top" wrapText="1"/>
    </xf>
    <xf numFmtId="0" fontId="15" fillId="0" borderId="43" xfId="0" applyNumberFormat="1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6" fontId="3" fillId="0" borderId="25" xfId="0" applyNumberFormat="1" applyFont="1" applyFill="1" applyBorder="1" applyAlignment="1">
      <alignment horizontal="center" vertical="top" wrapText="1"/>
    </xf>
    <xf numFmtId="16" fontId="3" fillId="0" borderId="26" xfId="0" applyNumberFormat="1" applyFont="1" applyFill="1" applyBorder="1" applyAlignment="1">
      <alignment horizontal="center" vertical="top" wrapText="1"/>
    </xf>
    <xf numFmtId="16" fontId="3" fillId="0" borderId="43" xfId="0" applyNumberFormat="1" applyFont="1" applyFill="1" applyBorder="1" applyAlignment="1">
      <alignment horizontal="center" vertical="top" wrapText="1"/>
    </xf>
    <xf numFmtId="16" fontId="3" fillId="0" borderId="44" xfId="0" applyNumberFormat="1" applyFont="1" applyFill="1" applyBorder="1" applyAlignment="1">
      <alignment horizontal="center" vertical="top" wrapText="1"/>
    </xf>
    <xf numFmtId="16" fontId="3" fillId="0" borderId="30" xfId="0" applyNumberFormat="1" applyFont="1" applyFill="1" applyBorder="1" applyAlignment="1">
      <alignment horizontal="center" vertical="top" wrapText="1"/>
    </xf>
    <xf numFmtId="16" fontId="3" fillId="0" borderId="31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3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justify" vertical="center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78" fontId="8" fillId="0" borderId="30" xfId="0" applyNumberFormat="1" applyFont="1" applyFill="1" applyBorder="1" applyAlignment="1">
      <alignment horizontal="center" vertical="top" wrapText="1"/>
    </xf>
    <xf numFmtId="178" fontId="7" fillId="0" borderId="16" xfId="0" applyNumberFormat="1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vertical="top" wrapText="1"/>
    </xf>
    <xf numFmtId="178" fontId="8" fillId="0" borderId="36" xfId="0" applyNumberFormat="1" applyFont="1" applyFill="1" applyBorder="1" applyAlignment="1">
      <alignment horizontal="center" vertical="top" wrapText="1"/>
    </xf>
    <xf numFmtId="178" fontId="3" fillId="0" borderId="37" xfId="0" applyNumberFormat="1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vertical="top" wrapText="1"/>
    </xf>
    <xf numFmtId="178" fontId="4" fillId="0" borderId="28" xfId="0" applyNumberFormat="1" applyFont="1" applyFill="1" applyBorder="1" applyAlignment="1">
      <alignment vertical="top" wrapText="1"/>
    </xf>
    <xf numFmtId="178" fontId="4" fillId="0" borderId="25" xfId="0" applyNumberFormat="1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58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5" fillId="0" borderId="59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171" fontId="7" fillId="0" borderId="18" xfId="60" applyFont="1" applyFill="1" applyBorder="1" applyAlignment="1">
      <alignment wrapText="1"/>
    </xf>
    <xf numFmtId="0" fontId="6" fillId="0" borderId="2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178" fontId="7" fillId="0" borderId="63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2"/>
  <sheetViews>
    <sheetView tabSelected="1" view="pageBreakPreview" zoomScale="50" zoomScaleNormal="50" zoomScaleSheetLayoutView="50" zoomScalePageLayoutView="50" workbookViewId="0" topLeftCell="A7">
      <pane xSplit="4" ySplit="3" topLeftCell="E196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J199" sqref="E199:J199"/>
    </sheetView>
  </sheetViews>
  <sheetFormatPr defaultColWidth="9.125" defaultRowHeight="12.75"/>
  <cols>
    <col min="1" max="1" width="12.25390625" style="54" customWidth="1"/>
    <col min="2" max="2" width="38.50390625" style="75" customWidth="1"/>
    <col min="3" max="3" width="15.375" style="75" customWidth="1"/>
    <col min="4" max="4" width="16.00390625" style="75" customWidth="1"/>
    <col min="5" max="5" width="24.625" style="75" customWidth="1"/>
    <col min="6" max="6" width="23.625" style="75" customWidth="1"/>
    <col min="7" max="7" width="26.50390625" style="75" customWidth="1"/>
    <col min="8" max="8" width="21.125" style="75" customWidth="1"/>
    <col min="9" max="9" width="24.50390625" style="75" customWidth="1"/>
    <col min="10" max="10" width="25.50390625" style="75" customWidth="1"/>
    <col min="11" max="11" width="16.50390625" style="75" customWidth="1"/>
    <col min="12" max="12" width="32.00390625" style="83" customWidth="1"/>
    <col min="13" max="13" width="57.375" style="82" customWidth="1"/>
    <col min="14" max="16384" width="9.125" style="50" customWidth="1"/>
  </cols>
  <sheetData>
    <row r="1" spans="11:13" ht="33.75" customHeight="1">
      <c r="K1" s="495" t="s">
        <v>161</v>
      </c>
      <c r="L1" s="495"/>
      <c r="M1" s="495"/>
    </row>
    <row r="2" spans="11:13" ht="30.75" customHeight="1">
      <c r="K2" s="495" t="s">
        <v>162</v>
      </c>
      <c r="L2" s="495"/>
      <c r="M2" s="495"/>
    </row>
    <row r="3" spans="1:13" s="75" customFormat="1" ht="19.5" customHeight="1">
      <c r="A3" s="81"/>
      <c r="B3" s="496" t="s">
        <v>262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82"/>
    </row>
    <row r="4" spans="1:13" s="75" customFormat="1" ht="18">
      <c r="A4" s="81"/>
      <c r="J4" s="75" t="s">
        <v>16</v>
      </c>
      <c r="L4" s="83"/>
      <c r="M4" s="82"/>
    </row>
    <row r="5" spans="1:13" s="75" customFormat="1" ht="28.5" customHeight="1">
      <c r="A5" s="497"/>
      <c r="B5" s="405" t="s">
        <v>8</v>
      </c>
      <c r="C5" s="405"/>
      <c r="D5" s="405" t="s">
        <v>9</v>
      </c>
      <c r="E5" s="405" t="s">
        <v>0</v>
      </c>
      <c r="F5" s="405" t="s">
        <v>13</v>
      </c>
      <c r="G5" s="405"/>
      <c r="H5" s="405"/>
      <c r="I5" s="405"/>
      <c r="J5" s="405"/>
      <c r="K5" s="405" t="s">
        <v>14</v>
      </c>
      <c r="L5" s="405" t="s">
        <v>1</v>
      </c>
      <c r="M5" s="456" t="s">
        <v>219</v>
      </c>
    </row>
    <row r="6" spans="1:13" s="75" customFormat="1" ht="28.5" customHeight="1">
      <c r="A6" s="497"/>
      <c r="B6" s="405"/>
      <c r="C6" s="405"/>
      <c r="D6" s="405"/>
      <c r="E6" s="405"/>
      <c r="F6" s="499" t="s">
        <v>11</v>
      </c>
      <c r="G6" s="405" t="s">
        <v>98</v>
      </c>
      <c r="H6" s="405"/>
      <c r="I6" s="405"/>
      <c r="J6" s="405"/>
      <c r="K6" s="405"/>
      <c r="L6" s="405"/>
      <c r="M6" s="457"/>
    </row>
    <row r="7" spans="1:13" s="75" customFormat="1" ht="28.5" customHeight="1">
      <c r="A7" s="497"/>
      <c r="B7" s="405"/>
      <c r="C7" s="405"/>
      <c r="D7" s="405"/>
      <c r="E7" s="405"/>
      <c r="F7" s="499"/>
      <c r="G7" s="405" t="s">
        <v>101</v>
      </c>
      <c r="H7" s="405"/>
      <c r="I7" s="405"/>
      <c r="J7" s="405" t="s">
        <v>97</v>
      </c>
      <c r="K7" s="405"/>
      <c r="L7" s="405"/>
      <c r="M7" s="457"/>
    </row>
    <row r="8" spans="1:13" s="75" customFormat="1" ht="28.5" customHeight="1">
      <c r="A8" s="497"/>
      <c r="B8" s="405"/>
      <c r="C8" s="405"/>
      <c r="D8" s="405"/>
      <c r="E8" s="405"/>
      <c r="F8" s="499"/>
      <c r="G8" s="405" t="s">
        <v>99</v>
      </c>
      <c r="H8" s="405" t="s">
        <v>100</v>
      </c>
      <c r="I8" s="405"/>
      <c r="J8" s="405"/>
      <c r="K8" s="405"/>
      <c r="L8" s="405"/>
      <c r="M8" s="457"/>
    </row>
    <row r="9" spans="1:13" s="75" customFormat="1" ht="73.5" customHeight="1">
      <c r="A9" s="497"/>
      <c r="B9" s="405"/>
      <c r="C9" s="405"/>
      <c r="D9" s="405"/>
      <c r="E9" s="405"/>
      <c r="F9" s="499"/>
      <c r="G9" s="405"/>
      <c r="H9" s="4" t="s">
        <v>102</v>
      </c>
      <c r="I9" s="4" t="s">
        <v>103</v>
      </c>
      <c r="J9" s="405"/>
      <c r="K9" s="405"/>
      <c r="L9" s="405"/>
      <c r="M9" s="458"/>
    </row>
    <row r="10" spans="1:13" s="85" customFormat="1" ht="21">
      <c r="A10" s="84">
        <v>1</v>
      </c>
      <c r="B10" s="361">
        <v>2</v>
      </c>
      <c r="C10" s="361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38">
        <v>12</v>
      </c>
    </row>
    <row r="11" spans="1:13" s="243" customFormat="1" ht="24" customHeight="1">
      <c r="A11" s="459" t="s">
        <v>29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1"/>
    </row>
    <row r="12" spans="1:13" s="83" customFormat="1" ht="51" customHeight="1">
      <c r="A12" s="489" t="s">
        <v>253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1"/>
    </row>
    <row r="13" spans="1:13" s="85" customFormat="1" ht="95.25" customHeight="1">
      <c r="A13" s="492" t="s">
        <v>258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4"/>
    </row>
    <row r="14" spans="1:13" s="85" customFormat="1" ht="21" thickBot="1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3"/>
    </row>
    <row r="15" spans="1:13" s="85" customFormat="1" ht="70.5" customHeight="1" thickBot="1">
      <c r="A15" s="396" t="s">
        <v>220</v>
      </c>
      <c r="B15" s="466" t="s">
        <v>263</v>
      </c>
      <c r="C15" s="183" t="s">
        <v>99</v>
      </c>
      <c r="D15" s="183">
        <v>2020</v>
      </c>
      <c r="E15" s="175">
        <f aca="true" t="shared" si="0" ref="E15:J15">E17+E18+E21+E22</f>
        <v>1128.3</v>
      </c>
      <c r="F15" s="175">
        <f t="shared" si="0"/>
        <v>0</v>
      </c>
      <c r="G15" s="175">
        <f t="shared" si="0"/>
        <v>1117</v>
      </c>
      <c r="H15" s="175">
        <f t="shared" si="0"/>
        <v>1094.7</v>
      </c>
      <c r="I15" s="175">
        <f t="shared" si="0"/>
        <v>22.3</v>
      </c>
      <c r="J15" s="175">
        <f t="shared" si="0"/>
        <v>11.299999999999997</v>
      </c>
      <c r="K15" s="175">
        <f>K17+K18+K21+K22</f>
        <v>0</v>
      </c>
      <c r="L15" s="183" t="s">
        <v>47</v>
      </c>
      <c r="M15" s="485" t="s">
        <v>251</v>
      </c>
    </row>
    <row r="16" spans="1:13" s="85" customFormat="1" ht="70.5" customHeight="1" thickBot="1">
      <c r="A16" s="397"/>
      <c r="B16" s="484"/>
      <c r="C16" s="183" t="s">
        <v>248</v>
      </c>
      <c r="D16" s="183">
        <v>2021</v>
      </c>
      <c r="E16" s="175">
        <f aca="true" t="shared" si="1" ref="E16:J16">E19+E20</f>
        <v>1138.3000000000002</v>
      </c>
      <c r="F16" s="175">
        <f t="shared" si="1"/>
        <v>0</v>
      </c>
      <c r="G16" s="175">
        <f t="shared" si="1"/>
        <v>1126.9</v>
      </c>
      <c r="H16" s="175">
        <f t="shared" si="1"/>
        <v>1104.4</v>
      </c>
      <c r="I16" s="175">
        <f t="shared" si="1"/>
        <v>22.5</v>
      </c>
      <c r="J16" s="175">
        <f t="shared" si="1"/>
        <v>11.4</v>
      </c>
      <c r="K16" s="175">
        <f>K19+K20</f>
        <v>0</v>
      </c>
      <c r="L16" s="183"/>
      <c r="M16" s="486"/>
    </row>
    <row r="17" spans="1:13" s="85" customFormat="1" ht="57" customHeight="1">
      <c r="A17" s="397"/>
      <c r="B17" s="484"/>
      <c r="C17" s="172" t="s">
        <v>46</v>
      </c>
      <c r="D17" s="172">
        <v>2020</v>
      </c>
      <c r="E17" s="174">
        <f aca="true" t="shared" si="2" ref="E17:E22">F17+G17+J17+K17</f>
        <v>0</v>
      </c>
      <c r="F17" s="175"/>
      <c r="G17" s="174">
        <f aca="true" t="shared" si="3" ref="G17:G22">H17+I17</f>
        <v>0</v>
      </c>
      <c r="H17" s="174">
        <f>557-557</f>
        <v>0</v>
      </c>
      <c r="I17" s="174">
        <v>0</v>
      </c>
      <c r="J17" s="174">
        <f>83.33-83.33</f>
        <v>0</v>
      </c>
      <c r="K17" s="228">
        <v>0</v>
      </c>
      <c r="L17" s="172" t="s">
        <v>46</v>
      </c>
      <c r="M17" s="486"/>
    </row>
    <row r="18" spans="1:13" s="85" customFormat="1" ht="52.5" customHeight="1" thickBot="1">
      <c r="A18" s="397"/>
      <c r="B18" s="484"/>
      <c r="C18" s="173" t="s">
        <v>47</v>
      </c>
      <c r="D18" s="173">
        <v>2020</v>
      </c>
      <c r="E18" s="26">
        <f t="shared" si="2"/>
        <v>1128.3</v>
      </c>
      <c r="F18" s="24"/>
      <c r="G18" s="26">
        <f t="shared" si="3"/>
        <v>1117</v>
      </c>
      <c r="H18" s="26">
        <v>1094.7</v>
      </c>
      <c r="I18" s="26">
        <v>22.3</v>
      </c>
      <c r="J18" s="26">
        <f>83.678-72.378</f>
        <v>11.299999999999997</v>
      </c>
      <c r="K18" s="33">
        <v>0</v>
      </c>
      <c r="L18" s="173" t="s">
        <v>47</v>
      </c>
      <c r="M18" s="486"/>
    </row>
    <row r="19" spans="1:13" s="85" customFormat="1" ht="60" customHeight="1">
      <c r="A19" s="397"/>
      <c r="B19" s="484"/>
      <c r="C19" s="172" t="s">
        <v>46</v>
      </c>
      <c r="D19" s="173">
        <v>2021</v>
      </c>
      <c r="E19" s="26">
        <f t="shared" si="2"/>
        <v>1138.3000000000002</v>
      </c>
      <c r="F19" s="24"/>
      <c r="G19" s="26">
        <f t="shared" si="3"/>
        <v>1126.9</v>
      </c>
      <c r="H19" s="26">
        <f>561.9+565-22.5</f>
        <v>1104.4</v>
      </c>
      <c r="I19" s="26">
        <v>22.5</v>
      </c>
      <c r="J19" s="26">
        <v>11.4</v>
      </c>
      <c r="K19" s="33">
        <v>0</v>
      </c>
      <c r="L19" s="172" t="s">
        <v>46</v>
      </c>
      <c r="M19" s="486"/>
    </row>
    <row r="20" spans="1:13" s="85" customFormat="1" ht="48.75" customHeight="1" thickBot="1">
      <c r="A20" s="398"/>
      <c r="B20" s="467"/>
      <c r="C20" s="173" t="s">
        <v>47</v>
      </c>
      <c r="D20" s="173">
        <v>2021</v>
      </c>
      <c r="E20" s="26">
        <f t="shared" si="2"/>
        <v>0</v>
      </c>
      <c r="F20" s="24"/>
      <c r="G20" s="26">
        <f t="shared" si="3"/>
        <v>0</v>
      </c>
      <c r="H20" s="26">
        <f>565-565</f>
        <v>0</v>
      </c>
      <c r="I20" s="26">
        <v>0</v>
      </c>
      <c r="J20" s="26">
        <v>0</v>
      </c>
      <c r="K20" s="33">
        <v>0</v>
      </c>
      <c r="L20" s="173" t="s">
        <v>47</v>
      </c>
      <c r="M20" s="486"/>
    </row>
    <row r="21" spans="1:13" s="85" customFormat="1" ht="69" customHeight="1">
      <c r="A21" s="396" t="s">
        <v>221</v>
      </c>
      <c r="B21" s="488" t="s">
        <v>222</v>
      </c>
      <c r="C21" s="172" t="s">
        <v>46</v>
      </c>
      <c r="D21" s="1">
        <v>2020</v>
      </c>
      <c r="E21" s="26">
        <f t="shared" si="2"/>
        <v>0</v>
      </c>
      <c r="F21" s="7"/>
      <c r="G21" s="26">
        <f t="shared" si="3"/>
        <v>0</v>
      </c>
      <c r="H21" s="9">
        <v>0</v>
      </c>
      <c r="I21" s="9">
        <v>0</v>
      </c>
      <c r="J21" s="9">
        <v>0</v>
      </c>
      <c r="K21" s="9">
        <v>0</v>
      </c>
      <c r="L21" s="172" t="s">
        <v>46</v>
      </c>
      <c r="M21" s="486"/>
    </row>
    <row r="22" spans="1:13" s="85" customFormat="1" ht="81" customHeight="1" thickBot="1">
      <c r="A22" s="398"/>
      <c r="B22" s="480"/>
      <c r="C22" s="173" t="s">
        <v>47</v>
      </c>
      <c r="D22" s="1">
        <v>2020</v>
      </c>
      <c r="E22" s="26">
        <f t="shared" si="2"/>
        <v>0</v>
      </c>
      <c r="F22" s="7"/>
      <c r="G22" s="26">
        <f t="shared" si="3"/>
        <v>0</v>
      </c>
      <c r="H22" s="9">
        <v>0</v>
      </c>
      <c r="I22" s="9">
        <v>0</v>
      </c>
      <c r="J22" s="9">
        <v>0</v>
      </c>
      <c r="K22" s="9">
        <v>0</v>
      </c>
      <c r="L22" s="173" t="s">
        <v>47</v>
      </c>
      <c r="M22" s="487"/>
    </row>
    <row r="23" spans="1:13" s="85" customFormat="1" ht="30.75" customHeight="1">
      <c r="A23" s="396" t="s">
        <v>223</v>
      </c>
      <c r="B23" s="479" t="s">
        <v>254</v>
      </c>
      <c r="C23" s="229"/>
      <c r="D23" s="183">
        <v>2021</v>
      </c>
      <c r="E23" s="130">
        <f aca="true" t="shared" si="4" ref="E23:K23">E24</f>
        <v>1149.4</v>
      </c>
      <c r="F23" s="130">
        <f t="shared" si="4"/>
        <v>0</v>
      </c>
      <c r="G23" s="130">
        <f t="shared" si="4"/>
        <v>1000</v>
      </c>
      <c r="H23" s="130">
        <f t="shared" si="4"/>
        <v>890</v>
      </c>
      <c r="I23" s="130">
        <f t="shared" si="4"/>
        <v>110</v>
      </c>
      <c r="J23" s="130">
        <f t="shared" si="4"/>
        <v>149.4</v>
      </c>
      <c r="K23" s="130">
        <f t="shared" si="4"/>
        <v>0</v>
      </c>
      <c r="L23" s="79"/>
      <c r="M23" s="383" t="s">
        <v>252</v>
      </c>
    </row>
    <row r="24" spans="1:13" s="85" customFormat="1" ht="65.25" customHeight="1">
      <c r="A24" s="397"/>
      <c r="B24" s="479"/>
      <c r="C24" s="173" t="s">
        <v>47</v>
      </c>
      <c r="D24" s="4">
        <v>2021</v>
      </c>
      <c r="E24" s="26">
        <f>F24+G24+J24+K24</f>
        <v>1149.4</v>
      </c>
      <c r="F24" s="24"/>
      <c r="G24" s="26">
        <f>H24+I24</f>
        <v>1000</v>
      </c>
      <c r="H24" s="26">
        <f>1000-110</f>
        <v>890</v>
      </c>
      <c r="I24" s="26">
        <v>110</v>
      </c>
      <c r="J24" s="26">
        <v>149.4</v>
      </c>
      <c r="K24" s="35"/>
      <c r="L24" s="173" t="s">
        <v>47</v>
      </c>
      <c r="M24" s="282"/>
    </row>
    <row r="25" spans="1:13" s="85" customFormat="1" ht="33" customHeight="1">
      <c r="A25" s="397"/>
      <c r="B25" s="479"/>
      <c r="C25" s="230"/>
      <c r="D25" s="106">
        <v>2022</v>
      </c>
      <c r="E25" s="24">
        <f aca="true" t="shared" si="5" ref="E25:K25">E26</f>
        <v>1092</v>
      </c>
      <c r="F25" s="24">
        <f t="shared" si="5"/>
        <v>0</v>
      </c>
      <c r="G25" s="24">
        <f t="shared" si="5"/>
        <v>950</v>
      </c>
      <c r="H25" s="24">
        <f t="shared" si="5"/>
        <v>836</v>
      </c>
      <c r="I25" s="24">
        <f t="shared" si="5"/>
        <v>114</v>
      </c>
      <c r="J25" s="24">
        <f t="shared" si="5"/>
        <v>142</v>
      </c>
      <c r="K25" s="24">
        <f t="shared" si="5"/>
        <v>0</v>
      </c>
      <c r="L25" s="230"/>
      <c r="M25" s="282"/>
    </row>
    <row r="26" spans="1:13" s="85" customFormat="1" ht="64.5" customHeight="1" thickBot="1">
      <c r="A26" s="398"/>
      <c r="B26" s="480"/>
      <c r="C26" s="184" t="s">
        <v>46</v>
      </c>
      <c r="D26" s="4">
        <v>2022</v>
      </c>
      <c r="E26" s="185">
        <f>F26+G26+J26+K26</f>
        <v>1092</v>
      </c>
      <c r="F26" s="177"/>
      <c r="G26" s="185">
        <f>H26+I26</f>
        <v>950</v>
      </c>
      <c r="H26" s="185">
        <f>950-114</f>
        <v>836</v>
      </c>
      <c r="I26" s="185">
        <v>114</v>
      </c>
      <c r="J26" s="185">
        <v>142</v>
      </c>
      <c r="K26" s="178"/>
      <c r="L26" s="184" t="s">
        <v>46</v>
      </c>
      <c r="M26" s="283"/>
    </row>
    <row r="27" spans="1:13" s="85" customFormat="1" ht="127.5" customHeight="1">
      <c r="A27" s="396" t="s">
        <v>224</v>
      </c>
      <c r="B27" s="466" t="s">
        <v>255</v>
      </c>
      <c r="C27" s="1" t="s">
        <v>46</v>
      </c>
      <c r="D27" s="4">
        <v>2021</v>
      </c>
      <c r="E27" s="46">
        <f>F27+G27+J27+K27</f>
        <v>0</v>
      </c>
      <c r="F27" s="46">
        <v>0</v>
      </c>
      <c r="G27" s="46">
        <f>H27+I27</f>
        <v>0</v>
      </c>
      <c r="H27" s="46">
        <v>0</v>
      </c>
      <c r="I27" s="46">
        <v>0</v>
      </c>
      <c r="J27" s="46">
        <v>0</v>
      </c>
      <c r="K27" s="46">
        <v>0</v>
      </c>
      <c r="L27" s="1" t="s">
        <v>46</v>
      </c>
      <c r="M27" s="477" t="s">
        <v>250</v>
      </c>
    </row>
    <row r="28" spans="1:13" s="85" customFormat="1" ht="125.25" customHeight="1">
      <c r="A28" s="398"/>
      <c r="B28" s="467"/>
      <c r="C28" s="1" t="s">
        <v>225</v>
      </c>
      <c r="D28" s="4">
        <v>2022</v>
      </c>
      <c r="E28" s="46">
        <f>F28+G28+J28+K28</f>
        <v>0</v>
      </c>
      <c r="F28" s="46">
        <v>0</v>
      </c>
      <c r="G28" s="46">
        <f>H28+I28</f>
        <v>0</v>
      </c>
      <c r="H28" s="46">
        <v>0</v>
      </c>
      <c r="I28" s="46">
        <v>0</v>
      </c>
      <c r="J28" s="46">
        <v>0</v>
      </c>
      <c r="K28" s="46">
        <v>0</v>
      </c>
      <c r="L28" s="1" t="s">
        <v>225</v>
      </c>
      <c r="M28" s="478"/>
    </row>
    <row r="29" spans="1:13" s="85" customFormat="1" ht="61.5" customHeight="1">
      <c r="A29" s="468" t="s">
        <v>227</v>
      </c>
      <c r="B29" s="471" t="s">
        <v>257</v>
      </c>
      <c r="C29" s="236"/>
      <c r="D29" s="237" t="s">
        <v>228</v>
      </c>
      <c r="E29" s="238">
        <f aca="true" t="shared" si="6" ref="E29:J29">E30+E31+E32+E33+E34+E35+E36+E37+E38</f>
        <v>4554.2</v>
      </c>
      <c r="F29" s="238">
        <f t="shared" si="6"/>
        <v>0</v>
      </c>
      <c r="G29" s="238">
        <f t="shared" si="6"/>
        <v>4509.2</v>
      </c>
      <c r="H29" s="238">
        <f t="shared" si="6"/>
        <v>4419</v>
      </c>
      <c r="I29" s="238">
        <f t="shared" si="6"/>
        <v>90.2</v>
      </c>
      <c r="J29" s="238">
        <f t="shared" si="6"/>
        <v>45</v>
      </c>
      <c r="K29" s="238">
        <f>K30+K31+K32+K33+K34+K35+K36+K37+K38</f>
        <v>0</v>
      </c>
      <c r="L29" s="232"/>
      <c r="M29" s="474" t="s">
        <v>249</v>
      </c>
    </row>
    <row r="30" spans="1:13" s="85" customFormat="1" ht="66" customHeight="1">
      <c r="A30" s="469"/>
      <c r="B30" s="472"/>
      <c r="C30" s="235" t="s">
        <v>46</v>
      </c>
      <c r="D30" s="235" t="s">
        <v>228</v>
      </c>
      <c r="E30" s="9">
        <f aca="true" t="shared" si="7" ref="E30:E38">F30+G30+J30+K30</f>
        <v>4554.2</v>
      </c>
      <c r="F30" s="239"/>
      <c r="G30" s="9">
        <f aca="true" t="shared" si="8" ref="G30:G38">H30+I30</f>
        <v>4509.2</v>
      </c>
      <c r="H30" s="9">
        <f>4509.2-90.2</f>
        <v>4419</v>
      </c>
      <c r="I30" s="9">
        <v>90.2</v>
      </c>
      <c r="J30" s="9">
        <f>45</f>
        <v>45</v>
      </c>
      <c r="K30" s="9">
        <v>0</v>
      </c>
      <c r="L30" s="1" t="s">
        <v>46</v>
      </c>
      <c r="M30" s="475"/>
    </row>
    <row r="31" spans="1:13" s="85" customFormat="1" ht="69.75" customHeight="1">
      <c r="A31" s="470"/>
      <c r="B31" s="473"/>
      <c r="C31" s="235" t="s">
        <v>47</v>
      </c>
      <c r="D31" s="235" t="s">
        <v>228</v>
      </c>
      <c r="E31" s="9">
        <f t="shared" si="7"/>
        <v>0</v>
      </c>
      <c r="F31" s="240"/>
      <c r="G31" s="9">
        <f t="shared" si="8"/>
        <v>0</v>
      </c>
      <c r="H31" s="239">
        <v>0</v>
      </c>
      <c r="I31" s="239">
        <v>0</v>
      </c>
      <c r="J31" s="239">
        <v>0</v>
      </c>
      <c r="K31" s="239">
        <v>0</v>
      </c>
      <c r="L31" s="1" t="s">
        <v>225</v>
      </c>
      <c r="M31" s="475"/>
    </row>
    <row r="32" spans="1:13" s="85" customFormat="1" ht="203.25" customHeight="1">
      <c r="A32" s="233" t="s">
        <v>229</v>
      </c>
      <c r="B32" s="241" t="s">
        <v>230</v>
      </c>
      <c r="C32" s="235" t="s">
        <v>46</v>
      </c>
      <c r="D32" s="235" t="s">
        <v>228</v>
      </c>
      <c r="E32" s="46">
        <f t="shared" si="7"/>
        <v>0</v>
      </c>
      <c r="F32" s="238">
        <v>0</v>
      </c>
      <c r="G32" s="9">
        <f t="shared" si="8"/>
        <v>0</v>
      </c>
      <c r="H32" s="238">
        <v>0</v>
      </c>
      <c r="I32" s="238">
        <v>0</v>
      </c>
      <c r="J32" s="238">
        <v>0</v>
      </c>
      <c r="K32" s="238">
        <v>0</v>
      </c>
      <c r="L32" s="235" t="s">
        <v>46</v>
      </c>
      <c r="M32" s="475"/>
    </row>
    <row r="33" spans="1:13" s="85" customFormat="1" ht="117" customHeight="1">
      <c r="A33" s="233" t="s">
        <v>231</v>
      </c>
      <c r="B33" s="234" t="s">
        <v>232</v>
      </c>
      <c r="C33" s="235" t="s">
        <v>46</v>
      </c>
      <c r="D33" s="237" t="s">
        <v>228</v>
      </c>
      <c r="E33" s="46">
        <f t="shared" si="7"/>
        <v>0</v>
      </c>
      <c r="F33" s="238">
        <v>0</v>
      </c>
      <c r="G33" s="46">
        <f t="shared" si="8"/>
        <v>0</v>
      </c>
      <c r="H33" s="238">
        <v>0</v>
      </c>
      <c r="I33" s="238">
        <v>0</v>
      </c>
      <c r="J33" s="238">
        <v>0</v>
      </c>
      <c r="K33" s="238">
        <v>0</v>
      </c>
      <c r="L33" s="235" t="s">
        <v>46</v>
      </c>
      <c r="M33" s="475"/>
    </row>
    <row r="34" spans="1:13" s="85" customFormat="1" ht="127.5" customHeight="1">
      <c r="A34" s="233" t="s">
        <v>233</v>
      </c>
      <c r="B34" s="169" t="s">
        <v>234</v>
      </c>
      <c r="C34" s="1" t="s">
        <v>235</v>
      </c>
      <c r="D34" s="4">
        <v>2021</v>
      </c>
      <c r="E34" s="46">
        <f t="shared" si="7"/>
        <v>0</v>
      </c>
      <c r="F34" s="238">
        <v>0</v>
      </c>
      <c r="G34" s="46">
        <f t="shared" si="8"/>
        <v>0</v>
      </c>
      <c r="H34" s="46">
        <v>0</v>
      </c>
      <c r="I34" s="46">
        <v>0</v>
      </c>
      <c r="J34" s="46">
        <v>0</v>
      </c>
      <c r="K34" s="46">
        <v>0</v>
      </c>
      <c r="L34" s="235" t="s">
        <v>46</v>
      </c>
      <c r="M34" s="475"/>
    </row>
    <row r="35" spans="1:13" s="85" customFormat="1" ht="247.5" customHeight="1">
      <c r="A35" s="233" t="s">
        <v>236</v>
      </c>
      <c r="B35" s="169" t="s">
        <v>237</v>
      </c>
      <c r="C35" s="1" t="s">
        <v>46</v>
      </c>
      <c r="D35" s="4">
        <v>2021</v>
      </c>
      <c r="E35" s="46">
        <f t="shared" si="7"/>
        <v>0</v>
      </c>
      <c r="F35" s="238"/>
      <c r="G35" s="46">
        <f t="shared" si="8"/>
        <v>0</v>
      </c>
      <c r="H35" s="46">
        <v>0</v>
      </c>
      <c r="I35" s="46">
        <v>0</v>
      </c>
      <c r="J35" s="46">
        <v>0</v>
      </c>
      <c r="K35" s="46">
        <v>0</v>
      </c>
      <c r="L35" s="235" t="s">
        <v>46</v>
      </c>
      <c r="M35" s="475"/>
    </row>
    <row r="36" spans="1:13" s="85" customFormat="1" ht="177" customHeight="1">
      <c r="A36" s="233" t="s">
        <v>238</v>
      </c>
      <c r="B36" s="169" t="s">
        <v>239</v>
      </c>
      <c r="C36" s="1" t="s">
        <v>46</v>
      </c>
      <c r="D36" s="4">
        <v>2021</v>
      </c>
      <c r="E36" s="46">
        <f t="shared" si="7"/>
        <v>0</v>
      </c>
      <c r="F36" s="238"/>
      <c r="G36" s="46">
        <f t="shared" si="8"/>
        <v>0</v>
      </c>
      <c r="H36" s="46">
        <v>0</v>
      </c>
      <c r="I36" s="46">
        <v>0</v>
      </c>
      <c r="J36" s="46">
        <v>0</v>
      </c>
      <c r="K36" s="46">
        <v>0</v>
      </c>
      <c r="L36" s="7"/>
      <c r="M36" s="475"/>
    </row>
    <row r="37" spans="1:13" s="85" customFormat="1" ht="155.25" customHeight="1">
      <c r="A37" s="233" t="s">
        <v>240</v>
      </c>
      <c r="B37" s="169" t="s">
        <v>241</v>
      </c>
      <c r="C37" s="1" t="s">
        <v>46</v>
      </c>
      <c r="D37" s="4">
        <v>2021</v>
      </c>
      <c r="E37" s="46">
        <f t="shared" si="7"/>
        <v>0</v>
      </c>
      <c r="F37" s="238"/>
      <c r="G37" s="46">
        <f t="shared" si="8"/>
        <v>0</v>
      </c>
      <c r="H37" s="46">
        <v>0</v>
      </c>
      <c r="I37" s="46">
        <v>0</v>
      </c>
      <c r="J37" s="46">
        <v>0</v>
      </c>
      <c r="K37" s="46">
        <v>0</v>
      </c>
      <c r="L37" s="235" t="s">
        <v>46</v>
      </c>
      <c r="M37" s="475"/>
    </row>
    <row r="38" spans="1:13" s="85" customFormat="1" ht="192" customHeight="1">
      <c r="A38" s="233" t="s">
        <v>242</v>
      </c>
      <c r="B38" s="169" t="s">
        <v>243</v>
      </c>
      <c r="C38" s="1" t="s">
        <v>46</v>
      </c>
      <c r="D38" s="4">
        <v>2021</v>
      </c>
      <c r="E38" s="46">
        <f t="shared" si="7"/>
        <v>0</v>
      </c>
      <c r="F38" s="242"/>
      <c r="G38" s="46">
        <f t="shared" si="8"/>
        <v>0</v>
      </c>
      <c r="H38" s="46">
        <v>0</v>
      </c>
      <c r="I38" s="46">
        <v>0</v>
      </c>
      <c r="J38" s="46">
        <v>0</v>
      </c>
      <c r="K38" s="46">
        <v>0</v>
      </c>
      <c r="L38" s="235" t="s">
        <v>46</v>
      </c>
      <c r="M38" s="476"/>
    </row>
    <row r="39" spans="1:13" s="244" customFormat="1" ht="159" customHeight="1">
      <c r="A39" s="396" t="s">
        <v>244</v>
      </c>
      <c r="B39" s="466" t="s">
        <v>256</v>
      </c>
      <c r="C39" s="4"/>
      <c r="D39" s="4">
        <v>2021</v>
      </c>
      <c r="E39" s="46">
        <f aca="true" t="shared" si="9" ref="E39:J39">E40</f>
        <v>0</v>
      </c>
      <c r="F39" s="46">
        <f t="shared" si="9"/>
        <v>0</v>
      </c>
      <c r="G39" s="46">
        <f t="shared" si="9"/>
        <v>0</v>
      </c>
      <c r="H39" s="46">
        <f t="shared" si="9"/>
        <v>0</v>
      </c>
      <c r="I39" s="46">
        <f t="shared" si="9"/>
        <v>0</v>
      </c>
      <c r="J39" s="46">
        <f t="shared" si="9"/>
        <v>0</v>
      </c>
      <c r="K39" s="46">
        <f>K40</f>
        <v>0</v>
      </c>
      <c r="L39" s="4"/>
      <c r="M39" s="110"/>
    </row>
    <row r="40" spans="1:13" s="244" customFormat="1" ht="143.25" customHeight="1">
      <c r="A40" s="398"/>
      <c r="B40" s="467"/>
      <c r="C40" s="1" t="s">
        <v>245</v>
      </c>
      <c r="D40" s="1">
        <v>2021</v>
      </c>
      <c r="E40" s="9">
        <f>F40+G40+J40+K40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4"/>
      <c r="M40" s="110"/>
    </row>
    <row r="41" spans="1:13" s="85" customFormat="1" ht="21">
      <c r="A41" s="84"/>
      <c r="B41" s="456" t="s">
        <v>246</v>
      </c>
      <c r="C41" s="7"/>
      <c r="D41" s="7">
        <v>2020</v>
      </c>
      <c r="E41" s="245">
        <f aca="true" t="shared" si="10" ref="E41:J41">E15</f>
        <v>1128.3</v>
      </c>
      <c r="F41" s="245">
        <f t="shared" si="10"/>
        <v>0</v>
      </c>
      <c r="G41" s="245">
        <f t="shared" si="10"/>
        <v>1117</v>
      </c>
      <c r="H41" s="245">
        <f t="shared" si="10"/>
        <v>1094.7</v>
      </c>
      <c r="I41" s="245">
        <f t="shared" si="10"/>
        <v>22.3</v>
      </c>
      <c r="J41" s="245">
        <f t="shared" si="10"/>
        <v>11.299999999999997</v>
      </c>
      <c r="K41" s="245">
        <f>K15</f>
        <v>0</v>
      </c>
      <c r="L41" s="7"/>
      <c r="M41" s="38"/>
    </row>
    <row r="42" spans="1:13" s="85" customFormat="1" ht="21">
      <c r="A42" s="84"/>
      <c r="B42" s="457"/>
      <c r="C42" s="7"/>
      <c r="D42" s="7">
        <v>2021</v>
      </c>
      <c r="E42" s="245">
        <f aca="true" t="shared" si="11" ref="E42:K42">E23+E27+E29+E39+E16</f>
        <v>6841.900000000001</v>
      </c>
      <c r="F42" s="245">
        <f t="shared" si="11"/>
        <v>0</v>
      </c>
      <c r="G42" s="245">
        <f t="shared" si="11"/>
        <v>6636.1</v>
      </c>
      <c r="H42" s="245">
        <f t="shared" si="11"/>
        <v>6413.4</v>
      </c>
      <c r="I42" s="245">
        <f t="shared" si="11"/>
        <v>222.7</v>
      </c>
      <c r="J42" s="245">
        <f>J23+J27+J29+J39+J16</f>
        <v>205.8</v>
      </c>
      <c r="K42" s="245">
        <f t="shared" si="11"/>
        <v>0</v>
      </c>
      <c r="L42" s="7"/>
      <c r="M42" s="38"/>
    </row>
    <row r="43" spans="1:13" s="85" customFormat="1" ht="21">
      <c r="A43" s="84"/>
      <c r="B43" s="457"/>
      <c r="C43" s="7"/>
      <c r="D43" s="7">
        <v>2022</v>
      </c>
      <c r="E43" s="245">
        <f aca="true" t="shared" si="12" ref="E43:K43">E25+E28</f>
        <v>1092</v>
      </c>
      <c r="F43" s="245">
        <f t="shared" si="12"/>
        <v>0</v>
      </c>
      <c r="G43" s="245">
        <f t="shared" si="12"/>
        <v>950</v>
      </c>
      <c r="H43" s="245">
        <f t="shared" si="12"/>
        <v>836</v>
      </c>
      <c r="I43" s="245">
        <f t="shared" si="12"/>
        <v>114</v>
      </c>
      <c r="J43" s="245">
        <f t="shared" si="12"/>
        <v>142</v>
      </c>
      <c r="K43" s="245">
        <f t="shared" si="12"/>
        <v>0</v>
      </c>
      <c r="L43" s="7"/>
      <c r="M43" s="38"/>
    </row>
    <row r="44" spans="1:13" s="85" customFormat="1" ht="21">
      <c r="A44" s="84"/>
      <c r="B44" s="458"/>
      <c r="C44" s="7"/>
      <c r="D44" s="7">
        <v>2023</v>
      </c>
      <c r="E44" s="245">
        <f>F44+G44+J44+K44</f>
        <v>0</v>
      </c>
      <c r="F44" s="245">
        <v>0</v>
      </c>
      <c r="G44" s="245">
        <f>H44+I44</f>
        <v>0</v>
      </c>
      <c r="H44" s="245">
        <v>0</v>
      </c>
      <c r="I44" s="245">
        <v>0</v>
      </c>
      <c r="J44" s="245">
        <v>0</v>
      </c>
      <c r="K44" s="245">
        <v>0</v>
      </c>
      <c r="L44" s="7"/>
      <c r="M44" s="38"/>
    </row>
    <row r="45" spans="1:13" s="85" customFormat="1" ht="21">
      <c r="A45" s="84"/>
      <c r="B45" s="7" t="s">
        <v>247</v>
      </c>
      <c r="C45" s="7"/>
      <c r="D45" s="7"/>
      <c r="E45" s="245">
        <f>E41+E42+E43+E44</f>
        <v>9062.2</v>
      </c>
      <c r="F45" s="245">
        <f aca="true" t="shared" si="13" ref="F45:K45">F41+F42+F43+F44</f>
        <v>0</v>
      </c>
      <c r="G45" s="245">
        <f t="shared" si="13"/>
        <v>8703.1</v>
      </c>
      <c r="H45" s="245">
        <f t="shared" si="13"/>
        <v>8344.099999999999</v>
      </c>
      <c r="I45" s="245">
        <f t="shared" si="13"/>
        <v>359</v>
      </c>
      <c r="J45" s="245">
        <f t="shared" si="13"/>
        <v>359.1</v>
      </c>
      <c r="K45" s="245">
        <f t="shared" si="13"/>
        <v>0</v>
      </c>
      <c r="L45" s="7"/>
      <c r="M45" s="38"/>
    </row>
    <row r="46" spans="1:13" s="75" customFormat="1" ht="24" customHeight="1" hidden="1">
      <c r="A46" s="459" t="s">
        <v>29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1"/>
    </row>
    <row r="47" spans="1:13" s="75" customFormat="1" ht="20.25" customHeight="1" hidden="1">
      <c r="A47" s="462" t="s">
        <v>71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2"/>
    </row>
    <row r="48" spans="1:13" s="75" customFormat="1" ht="86.25" customHeight="1" hidden="1">
      <c r="A48" s="463" t="s">
        <v>174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5"/>
    </row>
    <row r="49" spans="1:13" s="75" customFormat="1" ht="25.5" customHeight="1" hidden="1">
      <c r="A49" s="462" t="s">
        <v>2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8"/>
    </row>
    <row r="50" spans="1:13" s="75" customFormat="1" ht="24.75" customHeight="1">
      <c r="A50" s="300" t="s">
        <v>72</v>
      </c>
      <c r="B50" s="337" t="s">
        <v>73</v>
      </c>
      <c r="C50" s="337"/>
      <c r="D50" s="456">
        <v>2017</v>
      </c>
      <c r="E50" s="444">
        <f>F50+G50+J50+K50</f>
        <v>0</v>
      </c>
      <c r="F50" s="444"/>
      <c r="G50" s="454">
        <f>H50+I50</f>
        <v>0</v>
      </c>
      <c r="H50" s="445"/>
      <c r="I50" s="445">
        <v>0</v>
      </c>
      <c r="J50" s="445">
        <v>0</v>
      </c>
      <c r="K50" s="455"/>
      <c r="L50" s="422" t="s">
        <v>3</v>
      </c>
      <c r="M50" s="337" t="s">
        <v>66</v>
      </c>
    </row>
    <row r="51" spans="1:13" s="75" customFormat="1" ht="21.75" customHeight="1">
      <c r="A51" s="300"/>
      <c r="B51" s="337"/>
      <c r="C51" s="337"/>
      <c r="D51" s="458"/>
      <c r="E51" s="444"/>
      <c r="F51" s="444"/>
      <c r="G51" s="454"/>
      <c r="H51" s="445"/>
      <c r="I51" s="445"/>
      <c r="J51" s="445"/>
      <c r="K51" s="455"/>
      <c r="L51" s="422"/>
      <c r="M51" s="337"/>
    </row>
    <row r="52" spans="1:13" s="75" customFormat="1" ht="24.75" customHeight="1">
      <c r="A52" s="300"/>
      <c r="B52" s="337"/>
      <c r="C52" s="337"/>
      <c r="D52" s="4">
        <v>2018</v>
      </c>
      <c r="E52" s="24">
        <f>F52+G52+J52+K52</f>
        <v>0</v>
      </c>
      <c r="F52" s="24"/>
      <c r="G52" s="10">
        <f>H52+I52</f>
        <v>0</v>
      </c>
      <c r="H52" s="2"/>
      <c r="I52" s="2">
        <v>0</v>
      </c>
      <c r="J52" s="2">
        <v>0</v>
      </c>
      <c r="K52" s="39"/>
      <c r="L52" s="71" t="s">
        <v>3</v>
      </c>
      <c r="M52" s="337"/>
    </row>
    <row r="53" spans="1:13" s="75" customFormat="1" ht="29.25" customHeight="1">
      <c r="A53" s="300"/>
      <c r="B53" s="337"/>
      <c r="C53" s="337"/>
      <c r="D53" s="4">
        <v>2019</v>
      </c>
      <c r="E53" s="24">
        <f>F53+G53+J53+K53</f>
        <v>0</v>
      </c>
      <c r="F53" s="10"/>
      <c r="G53" s="10">
        <f>H53+I53</f>
        <v>0</v>
      </c>
      <c r="H53" s="10"/>
      <c r="I53" s="2">
        <v>0</v>
      </c>
      <c r="J53" s="2">
        <v>0</v>
      </c>
      <c r="K53" s="39"/>
      <c r="L53" s="71" t="s">
        <v>3</v>
      </c>
      <c r="M53" s="337"/>
    </row>
    <row r="54" spans="1:13" s="75" customFormat="1" ht="25.5" customHeight="1">
      <c r="A54" s="300"/>
      <c r="B54" s="337"/>
      <c r="C54" s="337"/>
      <c r="D54" s="4">
        <v>2020</v>
      </c>
      <c r="E54" s="24">
        <f>F54+G54+J54+K54</f>
        <v>0</v>
      </c>
      <c r="F54" s="24"/>
      <c r="G54" s="10">
        <f>H54+I54</f>
        <v>0</v>
      </c>
      <c r="H54" s="10"/>
      <c r="I54" s="2">
        <v>0</v>
      </c>
      <c r="J54" s="2">
        <v>0</v>
      </c>
      <c r="K54" s="22"/>
      <c r="L54" s="3" t="s">
        <v>3</v>
      </c>
      <c r="M54" s="337"/>
    </row>
    <row r="55" spans="1:13" s="75" customFormat="1" ht="31.5" customHeight="1">
      <c r="A55" s="300"/>
      <c r="B55" s="337"/>
      <c r="C55" s="337"/>
      <c r="D55" s="4">
        <v>2021</v>
      </c>
      <c r="E55" s="24">
        <f>F55+G55+J55+K55</f>
        <v>0</v>
      </c>
      <c r="F55" s="24"/>
      <c r="G55" s="10">
        <f>H55+I55</f>
        <v>0</v>
      </c>
      <c r="H55" s="10"/>
      <c r="I55" s="2">
        <v>0</v>
      </c>
      <c r="J55" s="2">
        <v>0</v>
      </c>
      <c r="K55" s="22"/>
      <c r="L55" s="3" t="s">
        <v>3</v>
      </c>
      <c r="M55" s="337"/>
    </row>
    <row r="56" spans="1:13" s="75" customFormat="1" ht="33.75" customHeight="1">
      <c r="A56" s="284" t="s">
        <v>74</v>
      </c>
      <c r="B56" s="500" t="s">
        <v>273</v>
      </c>
      <c r="C56" s="501"/>
      <c r="D56" s="4">
        <v>2017</v>
      </c>
      <c r="E56" s="24">
        <f>E62</f>
        <v>155.5623</v>
      </c>
      <c r="F56" s="24">
        <f>F62</f>
        <v>0</v>
      </c>
      <c r="G56" s="24">
        <f>G62</f>
        <v>0</v>
      </c>
      <c r="H56" s="24">
        <f>H62</f>
        <v>0</v>
      </c>
      <c r="I56" s="24">
        <f>I62</f>
        <v>0</v>
      </c>
      <c r="J56" s="24">
        <f>J62</f>
        <v>155.5623</v>
      </c>
      <c r="K56" s="24">
        <f>K62</f>
        <v>0</v>
      </c>
      <c r="L56" s="24"/>
      <c r="M56" s="502"/>
    </row>
    <row r="57" spans="1:13" s="75" customFormat="1" ht="33" customHeight="1">
      <c r="A57" s="285"/>
      <c r="B57" s="503"/>
      <c r="C57" s="504"/>
      <c r="D57" s="4">
        <v>2018</v>
      </c>
      <c r="E57" s="24">
        <f>E63</f>
        <v>394.40002999999996</v>
      </c>
      <c r="F57" s="24">
        <f>F63</f>
        <v>0</v>
      </c>
      <c r="G57" s="24">
        <f>G63</f>
        <v>0</v>
      </c>
      <c r="H57" s="24">
        <f>H63</f>
        <v>0</v>
      </c>
      <c r="I57" s="24">
        <f>I63</f>
        <v>0</v>
      </c>
      <c r="J57" s="24">
        <f>J63</f>
        <v>394.40002999999996</v>
      </c>
      <c r="K57" s="24">
        <f>K63</f>
        <v>0</v>
      </c>
      <c r="L57" s="24"/>
      <c r="M57" s="502"/>
    </row>
    <row r="58" spans="1:13" s="75" customFormat="1" ht="39" customHeight="1">
      <c r="A58" s="285"/>
      <c r="B58" s="503"/>
      <c r="C58" s="504"/>
      <c r="D58" s="4">
        <v>2019</v>
      </c>
      <c r="E58" s="24">
        <f>E64+E68+E70</f>
        <v>236.87999999999997</v>
      </c>
      <c r="F58" s="24">
        <f>F64+F68+F70</f>
        <v>0</v>
      </c>
      <c r="G58" s="24">
        <f>G64+G68+G70</f>
        <v>0</v>
      </c>
      <c r="H58" s="24">
        <f>H64+H68+H70</f>
        <v>0</v>
      </c>
      <c r="I58" s="24">
        <f>I64+I68+I70</f>
        <v>0</v>
      </c>
      <c r="J58" s="24">
        <f>J64+J68+J70</f>
        <v>236.87999999999997</v>
      </c>
      <c r="K58" s="24">
        <f>K64+K68+K70</f>
        <v>0</v>
      </c>
      <c r="L58" s="24"/>
      <c r="M58" s="502"/>
    </row>
    <row r="59" spans="1:13" s="75" customFormat="1" ht="33" customHeight="1">
      <c r="A59" s="285"/>
      <c r="B59" s="503"/>
      <c r="C59" s="504"/>
      <c r="D59" s="4">
        <v>2020</v>
      </c>
      <c r="E59" s="24">
        <f>E65+E69+E71</f>
        <v>224.78329999999994</v>
      </c>
      <c r="F59" s="24">
        <f>F65+F69+F71</f>
        <v>0</v>
      </c>
      <c r="G59" s="24">
        <f>G65+G69+G71</f>
        <v>0</v>
      </c>
      <c r="H59" s="24">
        <f>H65+H69+H71</f>
        <v>0</v>
      </c>
      <c r="I59" s="24">
        <f>I65+I69+I71</f>
        <v>0</v>
      </c>
      <c r="J59" s="24">
        <f>J65+J69+J71</f>
        <v>224.78329999999994</v>
      </c>
      <c r="K59" s="24">
        <f>K65+K69+K71</f>
        <v>0</v>
      </c>
      <c r="L59" s="24"/>
      <c r="M59" s="502"/>
    </row>
    <row r="60" spans="1:13" s="75" customFormat="1" ht="33" customHeight="1">
      <c r="A60" s="285"/>
      <c r="B60" s="503"/>
      <c r="C60" s="504"/>
      <c r="D60" s="4">
        <v>2021</v>
      </c>
      <c r="E60" s="24">
        <f>E66</f>
        <v>261.53</v>
      </c>
      <c r="F60" s="24">
        <f>F66</f>
        <v>0</v>
      </c>
      <c r="G60" s="24">
        <f>G66</f>
        <v>0</v>
      </c>
      <c r="H60" s="24">
        <f>H66</f>
        <v>0</v>
      </c>
      <c r="I60" s="24">
        <f>I66</f>
        <v>0</v>
      </c>
      <c r="J60" s="24">
        <f>J66</f>
        <v>261.53</v>
      </c>
      <c r="K60" s="24">
        <f>K66</f>
        <v>0</v>
      </c>
      <c r="L60" s="24"/>
      <c r="M60" s="502"/>
    </row>
    <row r="61" spans="1:13" s="75" customFormat="1" ht="30" customHeight="1">
      <c r="A61" s="286"/>
      <c r="B61" s="505"/>
      <c r="C61" s="506"/>
      <c r="D61" s="4">
        <v>2022</v>
      </c>
      <c r="E61" s="24">
        <f>E67</f>
        <v>276.53</v>
      </c>
      <c r="F61" s="24">
        <f>F67</f>
        <v>0</v>
      </c>
      <c r="G61" s="24">
        <f>G67</f>
        <v>0</v>
      </c>
      <c r="H61" s="24">
        <f>H67</f>
        <v>0</v>
      </c>
      <c r="I61" s="24">
        <f>I67</f>
        <v>0</v>
      </c>
      <c r="J61" s="24">
        <f>J67</f>
        <v>276.53</v>
      </c>
      <c r="K61" s="24">
        <f>K67</f>
        <v>0</v>
      </c>
      <c r="L61" s="24"/>
      <c r="M61" s="502"/>
    </row>
    <row r="62" spans="1:13" s="75" customFormat="1" ht="55.5" customHeight="1">
      <c r="A62" s="425" t="s">
        <v>272</v>
      </c>
      <c r="B62" s="498" t="s">
        <v>152</v>
      </c>
      <c r="C62" s="498"/>
      <c r="D62" s="1">
        <v>2017</v>
      </c>
      <c r="E62" s="26">
        <f aca="true" t="shared" si="14" ref="E62:E68">F62+I62+J62+K62</f>
        <v>155.5623</v>
      </c>
      <c r="F62" s="26"/>
      <c r="G62" s="26">
        <f aca="true" t="shared" si="15" ref="G62:G68">H62+I62</f>
        <v>0</v>
      </c>
      <c r="H62" s="136"/>
      <c r="I62" s="26">
        <v>0</v>
      </c>
      <c r="J62" s="26">
        <f>40+68.197-39.45+0.42+51.795+4.6003+30</f>
        <v>155.5623</v>
      </c>
      <c r="K62" s="34"/>
      <c r="L62" s="3" t="s">
        <v>6</v>
      </c>
      <c r="M62" s="337" t="s">
        <v>57</v>
      </c>
    </row>
    <row r="63" spans="1:13" s="75" customFormat="1" ht="57.75" customHeight="1">
      <c r="A63" s="425"/>
      <c r="B63" s="498"/>
      <c r="C63" s="498"/>
      <c r="D63" s="1">
        <v>2018</v>
      </c>
      <c r="E63" s="26">
        <f t="shared" si="14"/>
        <v>394.40002999999996</v>
      </c>
      <c r="F63" s="26"/>
      <c r="G63" s="26">
        <f t="shared" si="15"/>
        <v>0</v>
      </c>
      <c r="H63" s="136"/>
      <c r="I63" s="26">
        <v>0</v>
      </c>
      <c r="J63" s="26">
        <f>325-70-60+150-5.5-9.25-8.1+41.63+30.62003</f>
        <v>394.40002999999996</v>
      </c>
      <c r="K63" s="34"/>
      <c r="L63" s="3" t="s">
        <v>115</v>
      </c>
      <c r="M63" s="337"/>
    </row>
    <row r="64" spans="1:13" s="75" customFormat="1" ht="50.25" customHeight="1">
      <c r="A64" s="425"/>
      <c r="B64" s="498"/>
      <c r="C64" s="498"/>
      <c r="D64" s="1">
        <v>2019</v>
      </c>
      <c r="E64" s="26">
        <f t="shared" si="14"/>
        <v>194.37999999999997</v>
      </c>
      <c r="F64" s="26"/>
      <c r="G64" s="26">
        <f t="shared" si="15"/>
        <v>0</v>
      </c>
      <c r="H64" s="136"/>
      <c r="I64" s="26">
        <v>0</v>
      </c>
      <c r="J64" s="26">
        <f>363.78-1.1-12.25-15.357-19-61.293-19-42.5+1.1</f>
        <v>194.37999999999997</v>
      </c>
      <c r="K64" s="34"/>
      <c r="L64" s="3" t="s">
        <v>30</v>
      </c>
      <c r="M64" s="337"/>
    </row>
    <row r="65" spans="1:13" s="75" customFormat="1" ht="63" customHeight="1">
      <c r="A65" s="425"/>
      <c r="B65" s="498"/>
      <c r="C65" s="498"/>
      <c r="D65" s="1">
        <v>2020</v>
      </c>
      <c r="E65" s="26">
        <f t="shared" si="14"/>
        <v>181.38329999999993</v>
      </c>
      <c r="F65" s="26"/>
      <c r="G65" s="26">
        <f t="shared" si="15"/>
        <v>0</v>
      </c>
      <c r="H65" s="136"/>
      <c r="I65" s="26">
        <v>0</v>
      </c>
      <c r="J65" s="26">
        <f>276.53-9.9657-43.4-1.781-40</f>
        <v>181.38329999999993</v>
      </c>
      <c r="K65" s="34"/>
      <c r="L65" s="6" t="s">
        <v>30</v>
      </c>
      <c r="M65" s="337"/>
    </row>
    <row r="66" spans="1:13" s="75" customFormat="1" ht="50.25" customHeight="1">
      <c r="A66" s="425"/>
      <c r="B66" s="498"/>
      <c r="C66" s="498"/>
      <c r="D66" s="1">
        <v>2021</v>
      </c>
      <c r="E66" s="26">
        <f>F66+I66+J66+K66</f>
        <v>261.53</v>
      </c>
      <c r="F66" s="26"/>
      <c r="G66" s="26">
        <f>H66+I66</f>
        <v>0</v>
      </c>
      <c r="H66" s="136"/>
      <c r="I66" s="26">
        <v>0</v>
      </c>
      <c r="J66" s="26">
        <f>276.53-15</f>
        <v>261.53</v>
      </c>
      <c r="K66" s="34"/>
      <c r="L66" s="6"/>
      <c r="M66" s="337"/>
    </row>
    <row r="67" spans="1:13" s="75" customFormat="1" ht="51" customHeight="1">
      <c r="A67" s="425"/>
      <c r="B67" s="498"/>
      <c r="C67" s="498"/>
      <c r="D67" s="1">
        <v>2022</v>
      </c>
      <c r="E67" s="26">
        <f t="shared" si="14"/>
        <v>276.53</v>
      </c>
      <c r="F67" s="26"/>
      <c r="G67" s="26">
        <f t="shared" si="15"/>
        <v>0</v>
      </c>
      <c r="H67" s="136"/>
      <c r="I67" s="26">
        <v>0</v>
      </c>
      <c r="J67" s="26">
        <v>276.53</v>
      </c>
      <c r="K67" s="34"/>
      <c r="L67" s="6" t="s">
        <v>30</v>
      </c>
      <c r="M67" s="337"/>
    </row>
    <row r="68" spans="1:13" s="75" customFormat="1" ht="45.75" customHeight="1">
      <c r="A68" s="338" t="s">
        <v>148</v>
      </c>
      <c r="B68" s="393" t="s">
        <v>149</v>
      </c>
      <c r="C68" s="394"/>
      <c r="D68" s="1">
        <v>2019</v>
      </c>
      <c r="E68" s="26">
        <f t="shared" si="14"/>
        <v>0</v>
      </c>
      <c r="F68" s="26"/>
      <c r="G68" s="26">
        <f t="shared" si="15"/>
        <v>0</v>
      </c>
      <c r="H68" s="136"/>
      <c r="I68" s="26">
        <v>0</v>
      </c>
      <c r="J68" s="26">
        <v>0</v>
      </c>
      <c r="K68" s="34"/>
      <c r="L68" s="6"/>
      <c r="M68" s="23"/>
    </row>
    <row r="69" spans="1:13" s="75" customFormat="1" ht="52.5" customHeight="1">
      <c r="A69" s="453"/>
      <c r="B69" s="400"/>
      <c r="C69" s="451"/>
      <c r="D69" s="1">
        <v>2020</v>
      </c>
      <c r="E69" s="26">
        <f>F69+I69+J69+K69</f>
        <v>0</v>
      </c>
      <c r="F69" s="26"/>
      <c r="G69" s="26">
        <f>H69+I69</f>
        <v>0</v>
      </c>
      <c r="H69" s="136"/>
      <c r="I69" s="26">
        <v>0</v>
      </c>
      <c r="J69" s="26">
        <v>0</v>
      </c>
      <c r="K69" s="34"/>
      <c r="L69" s="6"/>
      <c r="M69" s="23"/>
    </row>
    <row r="70" spans="1:13" s="75" customFormat="1" ht="45.75" customHeight="1">
      <c r="A70" s="338" t="s">
        <v>206</v>
      </c>
      <c r="B70" s="393" t="s">
        <v>207</v>
      </c>
      <c r="C70" s="394"/>
      <c r="D70" s="1">
        <v>2019</v>
      </c>
      <c r="E70" s="26">
        <f>F70+I70+J70+K70</f>
        <v>42.5</v>
      </c>
      <c r="F70" s="26"/>
      <c r="G70" s="26">
        <f>H70+I70</f>
        <v>0</v>
      </c>
      <c r="H70" s="136"/>
      <c r="I70" s="26"/>
      <c r="J70" s="26">
        <v>42.5</v>
      </c>
      <c r="K70" s="34"/>
      <c r="L70" s="6" t="s">
        <v>264</v>
      </c>
      <c r="M70" s="23"/>
    </row>
    <row r="71" spans="1:13" s="75" customFormat="1" ht="45.75" customHeight="1">
      <c r="A71" s="453"/>
      <c r="B71" s="400"/>
      <c r="C71" s="451"/>
      <c r="D71" s="1">
        <v>2020</v>
      </c>
      <c r="E71" s="26">
        <f>F71+I71+J71+K71</f>
        <v>43.4</v>
      </c>
      <c r="F71" s="26"/>
      <c r="G71" s="26">
        <f>H71+I71</f>
        <v>0</v>
      </c>
      <c r="H71" s="136"/>
      <c r="I71" s="26"/>
      <c r="J71" s="26">
        <v>43.4</v>
      </c>
      <c r="K71" s="34"/>
      <c r="L71" s="6" t="s">
        <v>264</v>
      </c>
      <c r="M71" s="23"/>
    </row>
    <row r="72" spans="1:13" s="75" customFormat="1" ht="24.75" customHeight="1">
      <c r="A72" s="300" t="s">
        <v>75</v>
      </c>
      <c r="B72" s="337" t="s">
        <v>76</v>
      </c>
      <c r="C72" s="337"/>
      <c r="D72" s="4">
        <v>2017</v>
      </c>
      <c r="E72" s="28">
        <f aca="true" t="shared" si="16" ref="E72:E78">F72+G72+J72+K72</f>
        <v>11</v>
      </c>
      <c r="F72" s="28"/>
      <c r="G72" s="29">
        <f aca="true" t="shared" si="17" ref="G72:G79">H72+I72</f>
        <v>0</v>
      </c>
      <c r="H72" s="30"/>
      <c r="I72" s="31">
        <v>0</v>
      </c>
      <c r="J72" s="31">
        <f>11</f>
        <v>11</v>
      </c>
      <c r="K72" s="32"/>
      <c r="L72" s="6" t="s">
        <v>5</v>
      </c>
      <c r="M72" s="337" t="s">
        <v>56</v>
      </c>
    </row>
    <row r="73" spans="1:13" s="75" customFormat="1" ht="24.75" customHeight="1">
      <c r="A73" s="300"/>
      <c r="B73" s="337"/>
      <c r="C73" s="337"/>
      <c r="D73" s="4">
        <v>2018</v>
      </c>
      <c r="E73" s="28">
        <f t="shared" si="16"/>
        <v>0</v>
      </c>
      <c r="F73" s="28"/>
      <c r="G73" s="29">
        <f t="shared" si="17"/>
        <v>0</v>
      </c>
      <c r="H73" s="30"/>
      <c r="I73" s="31">
        <v>0</v>
      </c>
      <c r="J73" s="31">
        <v>0</v>
      </c>
      <c r="K73" s="32"/>
      <c r="L73" s="6" t="s">
        <v>4</v>
      </c>
      <c r="M73" s="337"/>
    </row>
    <row r="74" spans="1:13" s="75" customFormat="1" ht="24.75" customHeight="1">
      <c r="A74" s="300"/>
      <c r="B74" s="337"/>
      <c r="C74" s="337"/>
      <c r="D74" s="4">
        <v>2019</v>
      </c>
      <c r="E74" s="28">
        <f t="shared" si="16"/>
        <v>0</v>
      </c>
      <c r="F74" s="28"/>
      <c r="G74" s="29">
        <f t="shared" si="17"/>
        <v>0</v>
      </c>
      <c r="H74" s="30"/>
      <c r="I74" s="31">
        <v>0</v>
      </c>
      <c r="J74" s="31">
        <v>0</v>
      </c>
      <c r="K74" s="32"/>
      <c r="L74" s="6" t="s">
        <v>4</v>
      </c>
      <c r="M74" s="337"/>
    </row>
    <row r="75" spans="1:13" s="75" customFormat="1" ht="24.75" customHeight="1">
      <c r="A75" s="300"/>
      <c r="B75" s="337"/>
      <c r="C75" s="337"/>
      <c r="D75" s="4">
        <v>2020</v>
      </c>
      <c r="E75" s="28">
        <f t="shared" si="16"/>
        <v>0</v>
      </c>
      <c r="F75" s="28"/>
      <c r="G75" s="29">
        <f t="shared" si="17"/>
        <v>0</v>
      </c>
      <c r="H75" s="30"/>
      <c r="I75" s="31">
        <v>0</v>
      </c>
      <c r="J75" s="31">
        <v>0</v>
      </c>
      <c r="K75" s="32"/>
      <c r="L75" s="6" t="s">
        <v>4</v>
      </c>
      <c r="M75" s="337"/>
    </row>
    <row r="76" spans="1:13" s="75" customFormat="1" ht="24.75" customHeight="1">
      <c r="A76" s="300"/>
      <c r="B76" s="337"/>
      <c r="C76" s="337"/>
      <c r="D76" s="4">
        <v>2021</v>
      </c>
      <c r="E76" s="28">
        <f>F76+G76+J76+K76</f>
        <v>0</v>
      </c>
      <c r="F76" s="28"/>
      <c r="G76" s="29">
        <f>H76+I76</f>
        <v>0</v>
      </c>
      <c r="H76" s="30"/>
      <c r="I76" s="31">
        <v>0</v>
      </c>
      <c r="J76" s="31">
        <v>0</v>
      </c>
      <c r="K76" s="32"/>
      <c r="L76" s="6"/>
      <c r="M76" s="337"/>
    </row>
    <row r="77" spans="1:13" s="75" customFormat="1" ht="24.75" customHeight="1">
      <c r="A77" s="300"/>
      <c r="B77" s="337"/>
      <c r="C77" s="337"/>
      <c r="D77" s="4">
        <v>2022</v>
      </c>
      <c r="E77" s="28">
        <f t="shared" si="16"/>
        <v>0</v>
      </c>
      <c r="F77" s="28"/>
      <c r="G77" s="29">
        <f t="shared" si="17"/>
        <v>0</v>
      </c>
      <c r="H77" s="30"/>
      <c r="I77" s="31">
        <v>0</v>
      </c>
      <c r="J77" s="31">
        <v>0</v>
      </c>
      <c r="K77" s="32"/>
      <c r="L77" s="6" t="s">
        <v>4</v>
      </c>
      <c r="M77" s="337"/>
    </row>
    <row r="78" spans="1:13" s="75" customFormat="1" ht="48" customHeight="1">
      <c r="A78" s="300" t="s">
        <v>77</v>
      </c>
      <c r="B78" s="452" t="s">
        <v>261</v>
      </c>
      <c r="C78" s="452"/>
      <c r="D78" s="4">
        <v>2017</v>
      </c>
      <c r="E78" s="24">
        <f t="shared" si="16"/>
        <v>34.265</v>
      </c>
      <c r="F78" s="24"/>
      <c r="G78" s="26">
        <f t="shared" si="17"/>
        <v>0</v>
      </c>
      <c r="H78" s="26"/>
      <c r="I78" s="26">
        <v>0</v>
      </c>
      <c r="J78" s="26">
        <f>100-13.94-51.795</f>
        <v>34.265</v>
      </c>
      <c r="K78" s="33"/>
      <c r="L78" s="6" t="s">
        <v>3</v>
      </c>
      <c r="M78" s="337" t="s">
        <v>55</v>
      </c>
    </row>
    <row r="79" spans="1:13" s="75" customFormat="1" ht="35.25" customHeight="1">
      <c r="A79" s="300"/>
      <c r="B79" s="452"/>
      <c r="C79" s="452"/>
      <c r="D79" s="405">
        <v>2018</v>
      </c>
      <c r="E79" s="444">
        <f>F79+G79+J79+K80</f>
        <v>22.85</v>
      </c>
      <c r="F79" s="444"/>
      <c r="G79" s="445">
        <f t="shared" si="17"/>
        <v>0</v>
      </c>
      <c r="H79" s="445"/>
      <c r="I79" s="445">
        <v>0</v>
      </c>
      <c r="J79" s="445">
        <f>5.5+9.25+8.1</f>
        <v>22.85</v>
      </c>
      <c r="K79" s="448"/>
      <c r="L79" s="390" t="s">
        <v>3</v>
      </c>
      <c r="M79" s="337"/>
    </row>
    <row r="80" spans="1:13" s="75" customFormat="1" ht="18.75" customHeight="1">
      <c r="A80" s="300"/>
      <c r="B80" s="452"/>
      <c r="C80" s="452"/>
      <c r="D80" s="405"/>
      <c r="E80" s="444"/>
      <c r="F80" s="444"/>
      <c r="G80" s="445"/>
      <c r="H80" s="445"/>
      <c r="I80" s="445"/>
      <c r="J80" s="445"/>
      <c r="K80" s="449"/>
      <c r="L80" s="390"/>
      <c r="M80" s="337"/>
    </row>
    <row r="81" spans="1:13" s="75" customFormat="1" ht="42.75" customHeight="1">
      <c r="A81" s="300"/>
      <c r="B81" s="452"/>
      <c r="C81" s="452"/>
      <c r="D81" s="4">
        <v>2019</v>
      </c>
      <c r="E81" s="24">
        <f aca="true" t="shared" si="18" ref="E81:E90">F81+G81+J81+K81</f>
        <v>35.1</v>
      </c>
      <c r="F81" s="26"/>
      <c r="G81" s="26">
        <f aca="true" t="shared" si="19" ref="G81:G90">H81+I81</f>
        <v>0</v>
      </c>
      <c r="H81" s="26"/>
      <c r="I81" s="26">
        <v>0</v>
      </c>
      <c r="J81" s="26">
        <f>22.85+12.25</f>
        <v>35.1</v>
      </c>
      <c r="K81" s="34"/>
      <c r="L81" s="6" t="s">
        <v>3</v>
      </c>
      <c r="M81" s="337"/>
    </row>
    <row r="82" spans="1:13" s="75" customFormat="1" ht="42" customHeight="1">
      <c r="A82" s="300"/>
      <c r="B82" s="452"/>
      <c r="C82" s="452"/>
      <c r="D82" s="4">
        <v>2020</v>
      </c>
      <c r="E82" s="24">
        <f>F82+G82+J82+K82</f>
        <v>45.0657</v>
      </c>
      <c r="F82" s="26"/>
      <c r="G82" s="26">
        <f>H82+I82</f>
        <v>0</v>
      </c>
      <c r="H82" s="26"/>
      <c r="I82" s="26">
        <v>0</v>
      </c>
      <c r="J82" s="26">
        <f>35.1+9.9657</f>
        <v>45.0657</v>
      </c>
      <c r="K82" s="34"/>
      <c r="L82" s="6" t="s">
        <v>3</v>
      </c>
      <c r="M82" s="23"/>
    </row>
    <row r="83" spans="1:13" s="75" customFormat="1" ht="46.5" customHeight="1">
      <c r="A83" s="300"/>
      <c r="B83" s="452"/>
      <c r="C83" s="452"/>
      <c r="D83" s="4">
        <v>2021</v>
      </c>
      <c r="E83" s="24">
        <f>F83+G83+J83+K83</f>
        <v>35.1</v>
      </c>
      <c r="F83" s="26"/>
      <c r="G83" s="26">
        <f>H83+I83</f>
        <v>0</v>
      </c>
      <c r="H83" s="26"/>
      <c r="I83" s="26">
        <v>0</v>
      </c>
      <c r="J83" s="26">
        <v>35.1</v>
      </c>
      <c r="K83" s="34"/>
      <c r="L83" s="6"/>
      <c r="M83" s="23"/>
    </row>
    <row r="84" spans="1:13" s="75" customFormat="1" ht="33.75" customHeight="1">
      <c r="A84" s="300"/>
      <c r="B84" s="452"/>
      <c r="C84" s="452"/>
      <c r="D84" s="4">
        <v>2022</v>
      </c>
      <c r="E84" s="24">
        <f t="shared" si="18"/>
        <v>35.1</v>
      </c>
      <c r="F84" s="26"/>
      <c r="G84" s="26">
        <f t="shared" si="19"/>
        <v>0</v>
      </c>
      <c r="H84" s="26"/>
      <c r="I84" s="26">
        <v>0</v>
      </c>
      <c r="J84" s="26">
        <v>35.1</v>
      </c>
      <c r="K84" s="34"/>
      <c r="L84" s="6" t="s">
        <v>3</v>
      </c>
      <c r="M84" s="23"/>
    </row>
    <row r="85" spans="1:13" s="75" customFormat="1" ht="24.75" customHeight="1">
      <c r="A85" s="300" t="s">
        <v>78</v>
      </c>
      <c r="B85" s="393" t="s">
        <v>79</v>
      </c>
      <c r="C85" s="394"/>
      <c r="D85" s="4">
        <v>2017</v>
      </c>
      <c r="E85" s="24">
        <f t="shared" si="18"/>
        <v>65.3997</v>
      </c>
      <c r="F85" s="26"/>
      <c r="G85" s="26">
        <f t="shared" si="19"/>
        <v>0</v>
      </c>
      <c r="H85" s="136"/>
      <c r="I85" s="26">
        <v>0</v>
      </c>
      <c r="J85" s="26">
        <f>70-4.6003</f>
        <v>65.3997</v>
      </c>
      <c r="K85" s="27"/>
      <c r="L85" s="6" t="s">
        <v>5</v>
      </c>
      <c r="M85" s="337" t="s">
        <v>54</v>
      </c>
    </row>
    <row r="86" spans="1:13" s="75" customFormat="1" ht="24.75" customHeight="1">
      <c r="A86" s="300"/>
      <c r="B86" s="399"/>
      <c r="C86" s="450"/>
      <c r="D86" s="4">
        <v>2018</v>
      </c>
      <c r="E86" s="24">
        <f t="shared" si="18"/>
        <v>60</v>
      </c>
      <c r="F86" s="26"/>
      <c r="G86" s="24">
        <f t="shared" si="19"/>
        <v>0</v>
      </c>
      <c r="H86" s="25"/>
      <c r="I86" s="26">
        <v>0</v>
      </c>
      <c r="J86" s="26">
        <v>60</v>
      </c>
      <c r="K86" s="27"/>
      <c r="L86" s="6" t="s">
        <v>5</v>
      </c>
      <c r="M86" s="337"/>
    </row>
    <row r="87" spans="1:13" s="75" customFormat="1" ht="24.75" customHeight="1">
      <c r="A87" s="300"/>
      <c r="B87" s="399"/>
      <c r="C87" s="450"/>
      <c r="D87" s="4">
        <v>2019</v>
      </c>
      <c r="E87" s="24">
        <f t="shared" si="18"/>
        <v>79</v>
      </c>
      <c r="F87" s="26"/>
      <c r="G87" s="24">
        <f t="shared" si="19"/>
        <v>0</v>
      </c>
      <c r="H87" s="25"/>
      <c r="I87" s="26">
        <v>0</v>
      </c>
      <c r="J87" s="26">
        <f>60+19</f>
        <v>79</v>
      </c>
      <c r="K87" s="27"/>
      <c r="L87" s="6" t="s">
        <v>5</v>
      </c>
      <c r="M87" s="337"/>
    </row>
    <row r="88" spans="1:13" s="75" customFormat="1" ht="24.75" customHeight="1">
      <c r="A88" s="300"/>
      <c r="B88" s="399"/>
      <c r="C88" s="450"/>
      <c r="D88" s="4">
        <v>2020</v>
      </c>
      <c r="E88" s="24">
        <f>F88+G88+J88+K88</f>
        <v>101.781</v>
      </c>
      <c r="F88" s="26"/>
      <c r="G88" s="24">
        <f>H88+I88</f>
        <v>0</v>
      </c>
      <c r="H88" s="25"/>
      <c r="I88" s="26">
        <v>0</v>
      </c>
      <c r="J88" s="26">
        <f>60+1.781+40</f>
        <v>101.781</v>
      </c>
      <c r="K88" s="27"/>
      <c r="L88" s="6" t="s">
        <v>5</v>
      </c>
      <c r="M88" s="337"/>
    </row>
    <row r="89" spans="1:13" s="75" customFormat="1" ht="24.75" customHeight="1">
      <c r="A89" s="300"/>
      <c r="B89" s="399"/>
      <c r="C89" s="450"/>
      <c r="D89" s="4">
        <v>2021</v>
      </c>
      <c r="E89" s="24">
        <f>F89+G89+J89+K89</f>
        <v>60</v>
      </c>
      <c r="F89" s="26"/>
      <c r="G89" s="24">
        <f>H89+I89</f>
        <v>0</v>
      </c>
      <c r="H89" s="25"/>
      <c r="I89" s="26">
        <v>0</v>
      </c>
      <c r="J89" s="26">
        <v>60</v>
      </c>
      <c r="K89" s="27"/>
      <c r="L89" s="6"/>
      <c r="M89" s="337"/>
    </row>
    <row r="90" spans="1:13" s="75" customFormat="1" ht="24.75" customHeight="1">
      <c r="A90" s="300"/>
      <c r="B90" s="400"/>
      <c r="C90" s="451"/>
      <c r="D90" s="4">
        <v>2022</v>
      </c>
      <c r="E90" s="24">
        <f t="shared" si="18"/>
        <v>60</v>
      </c>
      <c r="F90" s="26"/>
      <c r="G90" s="24">
        <f t="shared" si="19"/>
        <v>0</v>
      </c>
      <c r="H90" s="25"/>
      <c r="I90" s="26">
        <v>0</v>
      </c>
      <c r="J90" s="26">
        <v>60</v>
      </c>
      <c r="K90" s="27"/>
      <c r="L90" s="6" t="s">
        <v>5</v>
      </c>
      <c r="M90" s="337"/>
    </row>
    <row r="91" spans="1:13" s="75" customFormat="1" ht="24.75" customHeight="1">
      <c r="A91" s="300" t="s">
        <v>80</v>
      </c>
      <c r="B91" s="337" t="s">
        <v>81</v>
      </c>
      <c r="C91" s="337"/>
      <c r="D91" s="405">
        <v>2017</v>
      </c>
      <c r="E91" s="444">
        <f>F91+G91+J91+K91</f>
        <v>27.52</v>
      </c>
      <c r="F91" s="445"/>
      <c r="G91" s="446">
        <f>H91+I91</f>
        <v>0</v>
      </c>
      <c r="H91" s="444"/>
      <c r="I91" s="445">
        <v>0</v>
      </c>
      <c r="J91" s="445">
        <v>27.52</v>
      </c>
      <c r="K91" s="436"/>
      <c r="L91" s="390" t="s">
        <v>4</v>
      </c>
      <c r="M91" s="337" t="s">
        <v>53</v>
      </c>
    </row>
    <row r="92" spans="1:13" s="75" customFormat="1" ht="4.5" customHeight="1">
      <c r="A92" s="300"/>
      <c r="B92" s="337"/>
      <c r="C92" s="337"/>
      <c r="D92" s="405"/>
      <c r="E92" s="444"/>
      <c r="F92" s="445"/>
      <c r="G92" s="447"/>
      <c r="H92" s="444"/>
      <c r="I92" s="445"/>
      <c r="J92" s="445"/>
      <c r="K92" s="437"/>
      <c r="L92" s="390"/>
      <c r="M92" s="337"/>
    </row>
    <row r="93" spans="1:13" s="75" customFormat="1" ht="24.75" customHeight="1">
      <c r="A93" s="300"/>
      <c r="B93" s="337"/>
      <c r="C93" s="337"/>
      <c r="D93" s="4">
        <v>2018</v>
      </c>
      <c r="E93" s="24">
        <f aca="true" t="shared" si="20" ref="E93:E103">F93+G93+J93+K93</f>
        <v>28.369999999999997</v>
      </c>
      <c r="F93" s="26"/>
      <c r="G93" s="26">
        <f aca="true" t="shared" si="21" ref="G93:G129">H93+I93</f>
        <v>0</v>
      </c>
      <c r="H93" s="25"/>
      <c r="I93" s="26">
        <v>0</v>
      </c>
      <c r="J93" s="26">
        <f>70-41.63</f>
        <v>28.369999999999997</v>
      </c>
      <c r="K93" s="27"/>
      <c r="L93" s="6" t="s">
        <v>4</v>
      </c>
      <c r="M93" s="337"/>
    </row>
    <row r="94" spans="1:13" s="75" customFormat="1" ht="24.75" customHeight="1">
      <c r="A94" s="300"/>
      <c r="B94" s="337"/>
      <c r="C94" s="337"/>
      <c r="D94" s="4">
        <v>2019</v>
      </c>
      <c r="E94" s="24">
        <f t="shared" si="20"/>
        <v>28.37</v>
      </c>
      <c r="F94" s="26"/>
      <c r="G94" s="26">
        <f t="shared" si="21"/>
        <v>0</v>
      </c>
      <c r="H94" s="25"/>
      <c r="I94" s="26">
        <v>0</v>
      </c>
      <c r="J94" s="26">
        <v>28.37</v>
      </c>
      <c r="K94" s="27"/>
      <c r="L94" s="6" t="s">
        <v>4</v>
      </c>
      <c r="M94" s="337"/>
    </row>
    <row r="95" spans="1:13" s="75" customFormat="1" ht="24.75" customHeight="1">
      <c r="A95" s="300"/>
      <c r="B95" s="337"/>
      <c r="C95" s="337"/>
      <c r="D95" s="4">
        <v>2020</v>
      </c>
      <c r="E95" s="24">
        <f t="shared" si="20"/>
        <v>28.37</v>
      </c>
      <c r="F95" s="26"/>
      <c r="G95" s="26">
        <f t="shared" si="21"/>
        <v>0</v>
      </c>
      <c r="H95" s="25"/>
      <c r="I95" s="26">
        <v>0</v>
      </c>
      <c r="J95" s="26">
        <v>28.37</v>
      </c>
      <c r="K95" s="27"/>
      <c r="L95" s="6" t="s">
        <v>4</v>
      </c>
      <c r="M95" s="337"/>
    </row>
    <row r="96" spans="1:13" s="75" customFormat="1" ht="24.75" customHeight="1">
      <c r="A96" s="300"/>
      <c r="B96" s="337"/>
      <c r="C96" s="337"/>
      <c r="D96" s="4">
        <v>2021</v>
      </c>
      <c r="E96" s="24">
        <f>F96+G96+J96+K96</f>
        <v>28.37</v>
      </c>
      <c r="F96" s="26"/>
      <c r="G96" s="26">
        <f>H96+I96</f>
        <v>0</v>
      </c>
      <c r="H96" s="25"/>
      <c r="I96" s="26">
        <v>0</v>
      </c>
      <c r="J96" s="26">
        <v>28.37</v>
      </c>
      <c r="K96" s="27"/>
      <c r="L96" s="6" t="s">
        <v>4</v>
      </c>
      <c r="M96" s="337"/>
    </row>
    <row r="97" spans="1:13" s="75" customFormat="1" ht="24.75" customHeight="1">
      <c r="A97" s="300"/>
      <c r="B97" s="337"/>
      <c r="C97" s="337"/>
      <c r="D97" s="4">
        <v>2022</v>
      </c>
      <c r="E97" s="24">
        <f t="shared" si="20"/>
        <v>28.37</v>
      </c>
      <c r="F97" s="26"/>
      <c r="G97" s="26">
        <f t="shared" si="21"/>
        <v>0</v>
      </c>
      <c r="H97" s="25"/>
      <c r="I97" s="26">
        <v>0</v>
      </c>
      <c r="J97" s="26">
        <v>28.37</v>
      </c>
      <c r="K97" s="27"/>
      <c r="L97" s="6" t="s">
        <v>4</v>
      </c>
      <c r="M97" s="337"/>
    </row>
    <row r="98" spans="1:13" s="75" customFormat="1" ht="24.75" customHeight="1">
      <c r="A98" s="300" t="s">
        <v>82</v>
      </c>
      <c r="B98" s="438" t="s">
        <v>170</v>
      </c>
      <c r="C98" s="439"/>
      <c r="D98" s="4">
        <v>2017</v>
      </c>
      <c r="E98" s="24">
        <f t="shared" si="20"/>
        <v>50</v>
      </c>
      <c r="F98" s="26"/>
      <c r="G98" s="26">
        <f t="shared" si="21"/>
        <v>50</v>
      </c>
      <c r="H98" s="36"/>
      <c r="I98" s="12">
        <v>50</v>
      </c>
      <c r="J98" s="26">
        <v>0</v>
      </c>
      <c r="K98" s="37"/>
      <c r="L98" s="6" t="s">
        <v>35</v>
      </c>
      <c r="M98" s="401" t="s">
        <v>52</v>
      </c>
    </row>
    <row r="99" spans="1:13" s="75" customFormat="1" ht="24.75" customHeight="1">
      <c r="A99" s="300"/>
      <c r="B99" s="440"/>
      <c r="C99" s="441"/>
      <c r="D99" s="4">
        <v>2018</v>
      </c>
      <c r="E99" s="24">
        <f t="shared" si="20"/>
        <v>0</v>
      </c>
      <c r="F99" s="26"/>
      <c r="G99" s="26">
        <f t="shared" si="21"/>
        <v>0</v>
      </c>
      <c r="H99" s="26"/>
      <c r="I99" s="26">
        <v>0</v>
      </c>
      <c r="J99" s="26">
        <v>0</v>
      </c>
      <c r="K99" s="37"/>
      <c r="L99" s="6"/>
      <c r="M99" s="402"/>
    </row>
    <row r="100" spans="1:13" s="75" customFormat="1" ht="24.75" customHeight="1">
      <c r="A100" s="300"/>
      <c r="B100" s="440"/>
      <c r="C100" s="441"/>
      <c r="D100" s="4">
        <v>2019</v>
      </c>
      <c r="E100" s="24">
        <f t="shared" si="20"/>
        <v>50</v>
      </c>
      <c r="F100" s="26"/>
      <c r="G100" s="26">
        <f t="shared" si="21"/>
        <v>50</v>
      </c>
      <c r="H100" s="26"/>
      <c r="I100" s="26">
        <v>50</v>
      </c>
      <c r="J100" s="26">
        <v>0</v>
      </c>
      <c r="K100" s="37"/>
      <c r="L100" s="6" t="s">
        <v>21</v>
      </c>
      <c r="M100" s="402"/>
    </row>
    <row r="101" spans="1:13" s="75" customFormat="1" ht="24.75" customHeight="1">
      <c r="A101" s="300"/>
      <c r="B101" s="440"/>
      <c r="C101" s="441"/>
      <c r="D101" s="4">
        <v>2020</v>
      </c>
      <c r="E101" s="24">
        <f>F101+G101+J101+K101</f>
        <v>0</v>
      </c>
      <c r="F101" s="26"/>
      <c r="G101" s="26">
        <f>H101+I101</f>
        <v>0</v>
      </c>
      <c r="H101" s="26"/>
      <c r="I101" s="26">
        <v>0</v>
      </c>
      <c r="J101" s="26">
        <v>0</v>
      </c>
      <c r="K101" s="37"/>
      <c r="L101" s="6"/>
      <c r="M101" s="402"/>
    </row>
    <row r="102" spans="1:13" s="75" customFormat="1" ht="24.75" customHeight="1">
      <c r="A102" s="300"/>
      <c r="B102" s="440"/>
      <c r="C102" s="441"/>
      <c r="D102" s="4">
        <v>2021</v>
      </c>
      <c r="E102" s="24">
        <f>F102+G102+J102+K102</f>
        <v>0</v>
      </c>
      <c r="F102" s="26"/>
      <c r="G102" s="26">
        <f>H102+I102</f>
        <v>0</v>
      </c>
      <c r="H102" s="26"/>
      <c r="I102" s="26">
        <v>0</v>
      </c>
      <c r="J102" s="26">
        <v>0</v>
      </c>
      <c r="K102" s="37"/>
      <c r="L102" s="6"/>
      <c r="M102" s="402"/>
    </row>
    <row r="103" spans="1:13" s="75" customFormat="1" ht="24.75" customHeight="1" thickBot="1">
      <c r="A103" s="300"/>
      <c r="B103" s="442"/>
      <c r="C103" s="443"/>
      <c r="D103" s="122">
        <v>2022</v>
      </c>
      <c r="E103" s="105">
        <f t="shared" si="20"/>
        <v>0</v>
      </c>
      <c r="F103" s="72"/>
      <c r="G103" s="72">
        <f t="shared" si="21"/>
        <v>0</v>
      </c>
      <c r="H103" s="72"/>
      <c r="I103" s="72">
        <v>0</v>
      </c>
      <c r="J103" s="72">
        <v>0</v>
      </c>
      <c r="K103" s="509"/>
      <c r="L103" s="118"/>
      <c r="M103" s="403"/>
    </row>
    <row r="104" spans="1:13" s="75" customFormat="1" ht="24.75" customHeight="1" thickBot="1">
      <c r="A104" s="338" t="s">
        <v>83</v>
      </c>
      <c r="B104" s="413" t="s">
        <v>84</v>
      </c>
      <c r="C104" s="507"/>
      <c r="D104" s="510">
        <v>2017</v>
      </c>
      <c r="E104" s="518">
        <f>F104+G104+J104+K104</f>
        <v>627.047</v>
      </c>
      <c r="F104" s="131"/>
      <c r="G104" s="73">
        <f t="shared" si="21"/>
        <v>0</v>
      </c>
      <c r="H104" s="147">
        <f>H105+H106+H107+H108+H109+H110</f>
        <v>0</v>
      </c>
      <c r="I104" s="73">
        <f>I105+I106+I107+I108+I109+I110</f>
        <v>0</v>
      </c>
      <c r="J104" s="73">
        <f>J105+J106+J107+J108+J109+J110</f>
        <v>627.047</v>
      </c>
      <c r="K104" s="73">
        <f>K105+K106+K107+K108+K109+K110</f>
        <v>0</v>
      </c>
      <c r="L104" s="201"/>
      <c r="M104" s="404" t="s">
        <v>67</v>
      </c>
    </row>
    <row r="105" spans="1:13" s="75" customFormat="1" ht="27" customHeight="1">
      <c r="A105" s="432"/>
      <c r="B105" s="412"/>
      <c r="C105" s="508"/>
      <c r="D105" s="511"/>
      <c r="E105" s="423"/>
      <c r="F105" s="130"/>
      <c r="G105" s="130">
        <f t="shared" si="21"/>
        <v>0</v>
      </c>
      <c r="H105" s="130"/>
      <c r="I105" s="117"/>
      <c r="J105" s="117">
        <f>50+13.94</f>
        <v>63.94</v>
      </c>
      <c r="K105" s="519"/>
      <c r="L105" s="520" t="s">
        <v>173</v>
      </c>
      <c r="M105" s="404"/>
    </row>
    <row r="106" spans="1:13" s="75" customFormat="1" ht="24.75" customHeight="1">
      <c r="A106" s="432"/>
      <c r="B106" s="412"/>
      <c r="C106" s="508"/>
      <c r="D106" s="511"/>
      <c r="E106" s="423"/>
      <c r="F106" s="24"/>
      <c r="G106" s="24">
        <f t="shared" si="21"/>
        <v>0</v>
      </c>
      <c r="H106" s="25"/>
      <c r="I106" s="26"/>
      <c r="J106" s="26">
        <v>113.23</v>
      </c>
      <c r="K106" s="27"/>
      <c r="L106" s="512" t="s">
        <v>15</v>
      </c>
      <c r="M106" s="404"/>
    </row>
    <row r="107" spans="1:13" s="75" customFormat="1" ht="24.75" customHeight="1">
      <c r="A107" s="432"/>
      <c r="B107" s="412"/>
      <c r="C107" s="508"/>
      <c r="D107" s="511"/>
      <c r="E107" s="423"/>
      <c r="F107" s="24"/>
      <c r="G107" s="24">
        <f t="shared" si="21"/>
        <v>0</v>
      </c>
      <c r="H107" s="25"/>
      <c r="I107" s="26"/>
      <c r="J107" s="26">
        <v>205.427</v>
      </c>
      <c r="K107" s="27"/>
      <c r="L107" s="512" t="s">
        <v>23</v>
      </c>
      <c r="M107" s="404"/>
    </row>
    <row r="108" spans="1:13" s="75" customFormat="1" ht="24.75" customHeight="1">
      <c r="A108" s="432"/>
      <c r="B108" s="412"/>
      <c r="C108" s="508"/>
      <c r="D108" s="511"/>
      <c r="E108" s="423"/>
      <c r="F108" s="24"/>
      <c r="G108" s="24">
        <f t="shared" si="21"/>
        <v>0</v>
      </c>
      <c r="H108" s="25"/>
      <c r="I108" s="26"/>
      <c r="J108" s="26">
        <v>13.23</v>
      </c>
      <c r="K108" s="27"/>
      <c r="L108" s="512" t="s">
        <v>12</v>
      </c>
      <c r="M108" s="404"/>
    </row>
    <row r="109" spans="1:13" s="75" customFormat="1" ht="24.75" customHeight="1">
      <c r="A109" s="432"/>
      <c r="B109" s="412"/>
      <c r="C109" s="508"/>
      <c r="D109" s="511"/>
      <c r="E109" s="423"/>
      <c r="F109" s="24"/>
      <c r="G109" s="24">
        <f t="shared" si="21"/>
        <v>0</v>
      </c>
      <c r="H109" s="25"/>
      <c r="I109" s="26"/>
      <c r="J109" s="26">
        <v>161.09</v>
      </c>
      <c r="K109" s="27"/>
      <c r="L109" s="512" t="s">
        <v>24</v>
      </c>
      <c r="M109" s="404"/>
    </row>
    <row r="110" spans="1:13" s="75" customFormat="1" ht="24.75" customHeight="1" thickBot="1">
      <c r="A110" s="432"/>
      <c r="B110" s="412"/>
      <c r="C110" s="508"/>
      <c r="D110" s="513"/>
      <c r="E110" s="514"/>
      <c r="F110" s="177"/>
      <c r="G110" s="177">
        <f t="shared" si="21"/>
        <v>0</v>
      </c>
      <c r="H110" s="515"/>
      <c r="I110" s="185"/>
      <c r="J110" s="185">
        <f>15.18+18+36.45+0.5</f>
        <v>70.13</v>
      </c>
      <c r="K110" s="516"/>
      <c r="L110" s="517" t="s">
        <v>25</v>
      </c>
      <c r="M110" s="404"/>
    </row>
    <row r="111" spans="1:13" s="75" customFormat="1" ht="24.75" customHeight="1" thickBot="1">
      <c r="A111" s="432"/>
      <c r="B111" s="412"/>
      <c r="C111" s="508"/>
      <c r="D111" s="510">
        <v>2018</v>
      </c>
      <c r="E111" s="518">
        <f>F111+G111+J111+K111</f>
        <v>2781.9159799999998</v>
      </c>
      <c r="F111" s="128"/>
      <c r="G111" s="133">
        <f t="shared" si="21"/>
        <v>0</v>
      </c>
      <c r="H111" s="133">
        <f>H112+H113+H114+H115+H116+H117+H118</f>
        <v>0</v>
      </c>
      <c r="I111" s="133">
        <f>I112+I113+I114+I115+I116+I117+I118</f>
        <v>0</v>
      </c>
      <c r="J111" s="133">
        <f>J112+J113+J114+J115+J116+J117+J118</f>
        <v>2781.9159799999998</v>
      </c>
      <c r="K111" s="133">
        <f>K112+K113+K114+K115+K116+K117+K118</f>
        <v>0</v>
      </c>
      <c r="L111" s="201"/>
      <c r="M111" s="404"/>
    </row>
    <row r="112" spans="1:13" s="75" customFormat="1" ht="26.25" customHeight="1">
      <c r="A112" s="432"/>
      <c r="B112" s="412"/>
      <c r="C112" s="508"/>
      <c r="D112" s="511"/>
      <c r="E112" s="423"/>
      <c r="F112" s="69"/>
      <c r="G112" s="126">
        <f t="shared" si="21"/>
        <v>0</v>
      </c>
      <c r="H112" s="69"/>
      <c r="I112" s="126"/>
      <c r="J112" s="126">
        <v>0</v>
      </c>
      <c r="K112" s="127"/>
      <c r="L112" s="520" t="s">
        <v>173</v>
      </c>
      <c r="M112" s="404"/>
    </row>
    <row r="113" spans="1:13" s="75" customFormat="1" ht="24.75" customHeight="1">
      <c r="A113" s="432"/>
      <c r="B113" s="412"/>
      <c r="C113" s="508"/>
      <c r="D113" s="511"/>
      <c r="E113" s="423"/>
      <c r="F113" s="10"/>
      <c r="G113" s="2">
        <f t="shared" si="21"/>
        <v>0</v>
      </c>
      <c r="H113" s="10"/>
      <c r="I113" s="2"/>
      <c r="J113" s="2">
        <f>12.64+1186-181.18-36.69771</f>
        <v>980.76229</v>
      </c>
      <c r="K113" s="11"/>
      <c r="L113" s="512" t="s">
        <v>15</v>
      </c>
      <c r="M113" s="404"/>
    </row>
    <row r="114" spans="1:13" s="75" customFormat="1" ht="24.75" customHeight="1">
      <c r="A114" s="432"/>
      <c r="B114" s="412"/>
      <c r="C114" s="508"/>
      <c r="D114" s="511"/>
      <c r="E114" s="423"/>
      <c r="F114" s="10"/>
      <c r="G114" s="2">
        <f t="shared" si="21"/>
        <v>0</v>
      </c>
      <c r="H114" s="10"/>
      <c r="I114" s="2"/>
      <c r="J114" s="2">
        <f>12.64+445+788.79-277.21131</f>
        <v>969.2186899999998</v>
      </c>
      <c r="K114" s="11"/>
      <c r="L114" s="512" t="s">
        <v>23</v>
      </c>
      <c r="M114" s="404"/>
    </row>
    <row r="115" spans="1:13" s="75" customFormat="1" ht="24.75" customHeight="1">
      <c r="A115" s="432"/>
      <c r="B115" s="412"/>
      <c r="C115" s="508"/>
      <c r="D115" s="511"/>
      <c r="E115" s="423"/>
      <c r="F115" s="10"/>
      <c r="G115" s="2">
        <f t="shared" si="21"/>
        <v>0</v>
      </c>
      <c r="H115" s="10"/>
      <c r="I115" s="2"/>
      <c r="J115" s="2">
        <f>12.64+437.6-55.429</f>
        <v>394.81100000000004</v>
      </c>
      <c r="K115" s="11"/>
      <c r="L115" s="512" t="s">
        <v>12</v>
      </c>
      <c r="M115" s="404"/>
    </row>
    <row r="116" spans="1:13" s="75" customFormat="1" ht="24.75" customHeight="1">
      <c r="A116" s="432"/>
      <c r="B116" s="412"/>
      <c r="C116" s="508"/>
      <c r="D116" s="511"/>
      <c r="E116" s="423"/>
      <c r="F116" s="10"/>
      <c r="G116" s="2">
        <f t="shared" si="21"/>
        <v>0</v>
      </c>
      <c r="H116" s="10"/>
      <c r="I116" s="2"/>
      <c r="J116" s="2">
        <f>30.36+107+120+26.184</f>
        <v>283.54400000000004</v>
      </c>
      <c r="K116" s="11"/>
      <c r="L116" s="512" t="s">
        <v>24</v>
      </c>
      <c r="M116" s="404"/>
    </row>
    <row r="117" spans="1:13" s="75" customFormat="1" ht="24.75" customHeight="1">
      <c r="A117" s="432"/>
      <c r="B117" s="412"/>
      <c r="C117" s="508"/>
      <c r="D117" s="511"/>
      <c r="E117" s="423"/>
      <c r="F117" s="10"/>
      <c r="G117" s="2">
        <f t="shared" si="21"/>
        <v>0</v>
      </c>
      <c r="H117" s="10"/>
      <c r="I117" s="2"/>
      <c r="J117" s="2">
        <f>15.18+165-26.6</f>
        <v>153.58</v>
      </c>
      <c r="K117" s="11"/>
      <c r="L117" s="512" t="s">
        <v>25</v>
      </c>
      <c r="M117" s="404"/>
    </row>
    <row r="118" spans="1:13" s="75" customFormat="1" ht="24.75" customHeight="1" thickBot="1">
      <c r="A118" s="432"/>
      <c r="B118" s="412"/>
      <c r="C118" s="508"/>
      <c r="D118" s="513"/>
      <c r="E118" s="514"/>
      <c r="F118" s="66"/>
      <c r="G118" s="522">
        <f t="shared" si="21"/>
        <v>0</v>
      </c>
      <c r="H118" s="66"/>
      <c r="I118" s="522"/>
      <c r="J118" s="522">
        <v>0</v>
      </c>
      <c r="K118" s="523"/>
      <c r="L118" s="517" t="s">
        <v>48</v>
      </c>
      <c r="M118" s="404"/>
    </row>
    <row r="119" spans="1:13" s="75" customFormat="1" ht="24.75" customHeight="1" thickBot="1">
      <c r="A119" s="432"/>
      <c r="B119" s="412"/>
      <c r="C119" s="508"/>
      <c r="D119" s="510">
        <v>2019</v>
      </c>
      <c r="E119" s="518">
        <f>F119+G119+J119+K119</f>
        <v>387.68000000000006</v>
      </c>
      <c r="F119" s="128">
        <f aca="true" t="shared" si="22" ref="F119:K119">SUM(F120:F126)</f>
        <v>0</v>
      </c>
      <c r="G119" s="133">
        <f t="shared" si="22"/>
        <v>0</v>
      </c>
      <c r="H119" s="133">
        <f t="shared" si="22"/>
        <v>0</v>
      </c>
      <c r="I119" s="133">
        <f t="shared" si="22"/>
        <v>0</v>
      </c>
      <c r="J119" s="133">
        <f t="shared" si="22"/>
        <v>387.68000000000006</v>
      </c>
      <c r="K119" s="133">
        <f t="shared" si="22"/>
        <v>0</v>
      </c>
      <c r="L119" s="201"/>
      <c r="M119" s="404"/>
    </row>
    <row r="120" spans="1:13" s="75" customFormat="1" ht="24.75" customHeight="1">
      <c r="A120" s="432"/>
      <c r="B120" s="412"/>
      <c r="C120" s="508"/>
      <c r="D120" s="511"/>
      <c r="E120" s="423"/>
      <c r="F120" s="69"/>
      <c r="G120" s="126">
        <f aca="true" t="shared" si="23" ref="G120:G126">H120+I120</f>
        <v>0</v>
      </c>
      <c r="H120" s="69"/>
      <c r="I120" s="126"/>
      <c r="J120" s="126">
        <v>0</v>
      </c>
      <c r="K120" s="127"/>
      <c r="L120" s="520" t="s">
        <v>173</v>
      </c>
      <c r="M120" s="404"/>
    </row>
    <row r="121" spans="1:13" s="75" customFormat="1" ht="24.75" customHeight="1">
      <c r="A121" s="432"/>
      <c r="B121" s="412"/>
      <c r="C121" s="508"/>
      <c r="D121" s="511"/>
      <c r="E121" s="423"/>
      <c r="F121" s="10"/>
      <c r="G121" s="2">
        <f t="shared" si="23"/>
        <v>0</v>
      </c>
      <c r="H121" s="10"/>
      <c r="I121" s="2"/>
      <c r="J121" s="2">
        <v>12.64</v>
      </c>
      <c r="K121" s="11"/>
      <c r="L121" s="512" t="s">
        <v>15</v>
      </c>
      <c r="M121" s="404"/>
    </row>
    <row r="122" spans="1:13" s="75" customFormat="1" ht="24.75" customHeight="1">
      <c r="A122" s="432"/>
      <c r="B122" s="412"/>
      <c r="C122" s="508"/>
      <c r="D122" s="511"/>
      <c r="E122" s="423"/>
      <c r="F122" s="10"/>
      <c r="G122" s="2">
        <f t="shared" si="23"/>
        <v>0</v>
      </c>
      <c r="H122" s="10"/>
      <c r="I122" s="2"/>
      <c r="J122" s="2">
        <v>12.64</v>
      </c>
      <c r="K122" s="11"/>
      <c r="L122" s="512" t="s">
        <v>23</v>
      </c>
      <c r="M122" s="404"/>
    </row>
    <row r="123" spans="1:13" s="75" customFormat="1" ht="24.75" customHeight="1">
      <c r="A123" s="432"/>
      <c r="B123" s="412"/>
      <c r="C123" s="508"/>
      <c r="D123" s="511"/>
      <c r="E123" s="423"/>
      <c r="F123" s="10"/>
      <c r="G123" s="2">
        <f t="shared" si="23"/>
        <v>0</v>
      </c>
      <c r="H123" s="10"/>
      <c r="I123" s="2"/>
      <c r="J123" s="2">
        <f>12.64+100</f>
        <v>112.64</v>
      </c>
      <c r="K123" s="11"/>
      <c r="L123" s="512" t="s">
        <v>12</v>
      </c>
      <c r="M123" s="404"/>
    </row>
    <row r="124" spans="1:13" s="75" customFormat="1" ht="24.75" customHeight="1">
      <c r="A124" s="432"/>
      <c r="B124" s="412"/>
      <c r="C124" s="508"/>
      <c r="D124" s="511"/>
      <c r="E124" s="423"/>
      <c r="F124" s="10"/>
      <c r="G124" s="2">
        <f t="shared" si="23"/>
        <v>0</v>
      </c>
      <c r="H124" s="10"/>
      <c r="I124" s="2"/>
      <c r="J124" s="2">
        <v>0</v>
      </c>
      <c r="K124" s="11"/>
      <c r="L124" s="512" t="s">
        <v>178</v>
      </c>
      <c r="M124" s="404"/>
    </row>
    <row r="125" spans="1:13" s="75" customFormat="1" ht="24.75" customHeight="1">
      <c r="A125" s="432"/>
      <c r="B125" s="412"/>
      <c r="C125" s="508"/>
      <c r="D125" s="511"/>
      <c r="E125" s="423"/>
      <c r="F125" s="10"/>
      <c r="G125" s="2">
        <f t="shared" si="23"/>
        <v>0</v>
      </c>
      <c r="H125" s="10"/>
      <c r="I125" s="2"/>
      <c r="J125" s="2">
        <f>30.36+100</f>
        <v>130.36</v>
      </c>
      <c r="K125" s="11"/>
      <c r="L125" s="512" t="s">
        <v>24</v>
      </c>
      <c r="M125" s="404"/>
    </row>
    <row r="126" spans="1:13" s="75" customFormat="1" ht="24.75" customHeight="1" thickBot="1">
      <c r="A126" s="432"/>
      <c r="B126" s="412"/>
      <c r="C126" s="508"/>
      <c r="D126" s="513"/>
      <c r="E126" s="514"/>
      <c r="F126" s="66"/>
      <c r="G126" s="522">
        <f t="shared" si="23"/>
        <v>0</v>
      </c>
      <c r="H126" s="66"/>
      <c r="I126" s="522"/>
      <c r="J126" s="522">
        <f>15.18+16.731+100-12.511</f>
        <v>119.4</v>
      </c>
      <c r="K126" s="523"/>
      <c r="L126" s="517" t="s">
        <v>25</v>
      </c>
      <c r="M126" s="404"/>
    </row>
    <row r="127" spans="1:13" s="75" customFormat="1" ht="26.25" customHeight="1" thickBot="1">
      <c r="A127" s="432"/>
      <c r="B127" s="412"/>
      <c r="C127" s="508"/>
      <c r="D127" s="510">
        <v>2020</v>
      </c>
      <c r="E127" s="518">
        <f>F127+G127+J127+K127</f>
        <v>155.12</v>
      </c>
      <c r="F127" s="128">
        <f aca="true" t="shared" si="24" ref="F127:K127">SUM(F129:F134)</f>
        <v>0</v>
      </c>
      <c r="G127" s="133">
        <f t="shared" si="24"/>
        <v>0</v>
      </c>
      <c r="H127" s="133">
        <f t="shared" si="24"/>
        <v>0</v>
      </c>
      <c r="I127" s="133">
        <f t="shared" si="24"/>
        <v>0</v>
      </c>
      <c r="J127" s="133">
        <f t="shared" si="24"/>
        <v>155.12</v>
      </c>
      <c r="K127" s="135">
        <f t="shared" si="24"/>
        <v>0</v>
      </c>
      <c r="L127" s="526"/>
      <c r="M127" s="404"/>
    </row>
    <row r="128" spans="1:13" s="75" customFormat="1" ht="21.75" customHeight="1">
      <c r="A128" s="432"/>
      <c r="B128" s="412"/>
      <c r="C128" s="508"/>
      <c r="D128" s="511"/>
      <c r="E128" s="423"/>
      <c r="F128" s="69"/>
      <c r="G128" s="126">
        <f t="shared" si="21"/>
        <v>0</v>
      </c>
      <c r="H128" s="69"/>
      <c r="I128" s="126"/>
      <c r="J128" s="126">
        <v>0</v>
      </c>
      <c r="K128" s="127"/>
      <c r="L128" s="512" t="s">
        <v>173</v>
      </c>
      <c r="M128" s="404"/>
    </row>
    <row r="129" spans="1:13" s="75" customFormat="1" ht="24.75" customHeight="1">
      <c r="A129" s="432"/>
      <c r="B129" s="412"/>
      <c r="C129" s="508"/>
      <c r="D129" s="511"/>
      <c r="E129" s="423"/>
      <c r="F129" s="10"/>
      <c r="G129" s="2">
        <f t="shared" si="21"/>
        <v>0</v>
      </c>
      <c r="H129" s="10"/>
      <c r="I129" s="2"/>
      <c r="J129" s="2">
        <v>29.64</v>
      </c>
      <c r="K129" s="11"/>
      <c r="L129" s="512" t="s">
        <v>15</v>
      </c>
      <c r="M129" s="404"/>
    </row>
    <row r="130" spans="1:13" s="75" customFormat="1" ht="24.75" customHeight="1">
      <c r="A130" s="432"/>
      <c r="B130" s="412"/>
      <c r="C130" s="508"/>
      <c r="D130" s="511"/>
      <c r="E130" s="423"/>
      <c r="F130" s="10"/>
      <c r="G130" s="2">
        <f>H130+I130</f>
        <v>0</v>
      </c>
      <c r="H130" s="10"/>
      <c r="I130" s="2"/>
      <c r="J130" s="2">
        <v>29.64</v>
      </c>
      <c r="K130" s="11"/>
      <c r="L130" s="512" t="s">
        <v>23</v>
      </c>
      <c r="M130" s="404"/>
    </row>
    <row r="131" spans="1:13" s="75" customFormat="1" ht="24.75" customHeight="1">
      <c r="A131" s="432"/>
      <c r="B131" s="412"/>
      <c r="C131" s="508"/>
      <c r="D131" s="511"/>
      <c r="E131" s="423"/>
      <c r="F131" s="10"/>
      <c r="G131" s="2">
        <f>H131+I131</f>
        <v>0</v>
      </c>
      <c r="H131" s="10"/>
      <c r="I131" s="2"/>
      <c r="J131" s="2">
        <v>29.64</v>
      </c>
      <c r="K131" s="11"/>
      <c r="L131" s="512" t="s">
        <v>12</v>
      </c>
      <c r="M131" s="404"/>
    </row>
    <row r="132" spans="1:13" s="75" customFormat="1" ht="24.75" customHeight="1">
      <c r="A132" s="432"/>
      <c r="B132" s="412"/>
      <c r="C132" s="508"/>
      <c r="D132" s="511"/>
      <c r="E132" s="423"/>
      <c r="F132" s="10"/>
      <c r="G132" s="2">
        <f>H132+I132</f>
        <v>0</v>
      </c>
      <c r="H132" s="10"/>
      <c r="I132" s="2"/>
      <c r="J132" s="2">
        <v>0</v>
      </c>
      <c r="K132" s="11"/>
      <c r="L132" s="512" t="s">
        <v>178</v>
      </c>
      <c r="M132" s="404"/>
    </row>
    <row r="133" spans="1:13" s="75" customFormat="1" ht="24.75" customHeight="1">
      <c r="A133" s="432"/>
      <c r="B133" s="412"/>
      <c r="C133" s="508"/>
      <c r="D133" s="511"/>
      <c r="E133" s="423"/>
      <c r="F133" s="10"/>
      <c r="G133" s="2">
        <f>H133+I133</f>
        <v>0</v>
      </c>
      <c r="H133" s="10"/>
      <c r="I133" s="2"/>
      <c r="J133" s="2">
        <v>33.6</v>
      </c>
      <c r="K133" s="11"/>
      <c r="L133" s="512" t="s">
        <v>24</v>
      </c>
      <c r="M133" s="404"/>
    </row>
    <row r="134" spans="1:13" s="75" customFormat="1" ht="24.75" customHeight="1" thickBot="1">
      <c r="A134" s="432"/>
      <c r="B134" s="412"/>
      <c r="C134" s="508"/>
      <c r="D134" s="513"/>
      <c r="E134" s="514"/>
      <c r="F134" s="66"/>
      <c r="G134" s="522">
        <f>H134+I134</f>
        <v>0</v>
      </c>
      <c r="H134" s="66"/>
      <c r="I134" s="522"/>
      <c r="J134" s="522">
        <v>32.6</v>
      </c>
      <c r="K134" s="523"/>
      <c r="L134" s="517" t="s">
        <v>25</v>
      </c>
      <c r="M134" s="404"/>
    </row>
    <row r="135" spans="1:13" s="75" customFormat="1" ht="24.75" customHeight="1" thickBot="1">
      <c r="A135" s="432"/>
      <c r="B135" s="412"/>
      <c r="C135" s="508"/>
      <c r="D135" s="510">
        <v>2021</v>
      </c>
      <c r="E135" s="518">
        <f>F135+G135+J135+K135</f>
        <v>155.12</v>
      </c>
      <c r="F135" s="133">
        <f>SUM(F136:F142)</f>
        <v>0</v>
      </c>
      <c r="G135" s="133">
        <f>SUM(G136:G142)</f>
        <v>0</v>
      </c>
      <c r="H135" s="133">
        <f>SUM(H136:H142)</f>
        <v>0</v>
      </c>
      <c r="I135" s="133">
        <f>SUM(I136:I142)</f>
        <v>0</v>
      </c>
      <c r="J135" s="133">
        <f>SUM(J136:J142)</f>
        <v>155.12</v>
      </c>
      <c r="K135" s="134"/>
      <c r="L135" s="200"/>
      <c r="M135" s="404"/>
    </row>
    <row r="136" spans="1:13" s="75" customFormat="1" ht="24.75" customHeight="1">
      <c r="A136" s="432"/>
      <c r="B136" s="412"/>
      <c r="C136" s="508"/>
      <c r="D136" s="511"/>
      <c r="E136" s="423"/>
      <c r="F136" s="69"/>
      <c r="G136" s="126"/>
      <c r="H136" s="69"/>
      <c r="I136" s="126"/>
      <c r="J136" s="126">
        <v>0</v>
      </c>
      <c r="K136" s="127"/>
      <c r="L136" s="520" t="s">
        <v>173</v>
      </c>
      <c r="M136" s="404"/>
    </row>
    <row r="137" spans="1:13" s="75" customFormat="1" ht="24.75" customHeight="1">
      <c r="A137" s="432"/>
      <c r="B137" s="412"/>
      <c r="C137" s="508"/>
      <c r="D137" s="511"/>
      <c r="E137" s="423"/>
      <c r="F137" s="10"/>
      <c r="G137" s="2"/>
      <c r="H137" s="10"/>
      <c r="I137" s="2"/>
      <c r="J137" s="2">
        <v>29.64</v>
      </c>
      <c r="K137" s="11"/>
      <c r="L137" s="512" t="s">
        <v>15</v>
      </c>
      <c r="M137" s="404"/>
    </row>
    <row r="138" spans="1:13" s="75" customFormat="1" ht="24.75" customHeight="1">
      <c r="A138" s="432"/>
      <c r="B138" s="412"/>
      <c r="C138" s="508"/>
      <c r="D138" s="511"/>
      <c r="E138" s="423"/>
      <c r="F138" s="10"/>
      <c r="G138" s="2"/>
      <c r="H138" s="10"/>
      <c r="I138" s="2"/>
      <c r="J138" s="2">
        <v>29.64</v>
      </c>
      <c r="K138" s="11"/>
      <c r="L138" s="512" t="s">
        <v>23</v>
      </c>
      <c r="M138" s="404"/>
    </row>
    <row r="139" spans="1:13" s="75" customFormat="1" ht="24.75" customHeight="1">
      <c r="A139" s="432"/>
      <c r="B139" s="412"/>
      <c r="C139" s="508"/>
      <c r="D139" s="511"/>
      <c r="E139" s="423"/>
      <c r="F139" s="10"/>
      <c r="G139" s="2"/>
      <c r="H139" s="10"/>
      <c r="I139" s="2"/>
      <c r="J139" s="2">
        <v>29.64</v>
      </c>
      <c r="K139" s="11"/>
      <c r="L139" s="512" t="s">
        <v>12</v>
      </c>
      <c r="M139" s="404"/>
    </row>
    <row r="140" spans="1:13" s="75" customFormat="1" ht="24.75" customHeight="1">
      <c r="A140" s="432"/>
      <c r="B140" s="412"/>
      <c r="C140" s="508"/>
      <c r="D140" s="511"/>
      <c r="E140" s="423"/>
      <c r="F140" s="2"/>
      <c r="G140" s="2"/>
      <c r="H140" s="10"/>
      <c r="I140" s="2"/>
      <c r="J140" s="2">
        <v>0</v>
      </c>
      <c r="K140" s="11"/>
      <c r="L140" s="512" t="s">
        <v>178</v>
      </c>
      <c r="M140" s="404"/>
    </row>
    <row r="141" spans="1:13" s="75" customFormat="1" ht="24.75" customHeight="1">
      <c r="A141" s="432"/>
      <c r="B141" s="412"/>
      <c r="C141" s="508"/>
      <c r="D141" s="511"/>
      <c r="E141" s="423"/>
      <c r="F141" s="10"/>
      <c r="G141" s="2"/>
      <c r="H141" s="10"/>
      <c r="I141" s="2"/>
      <c r="J141" s="2">
        <v>33.6</v>
      </c>
      <c r="K141" s="11"/>
      <c r="L141" s="512" t="s">
        <v>24</v>
      </c>
      <c r="M141" s="404"/>
    </row>
    <row r="142" spans="1:13" s="75" customFormat="1" ht="24.75" customHeight="1" thickBot="1">
      <c r="A142" s="432"/>
      <c r="B142" s="412"/>
      <c r="C142" s="508"/>
      <c r="D142" s="513"/>
      <c r="E142" s="514"/>
      <c r="F142" s="66"/>
      <c r="G142" s="522"/>
      <c r="H142" s="66"/>
      <c r="I142" s="522"/>
      <c r="J142" s="522">
        <v>32.6</v>
      </c>
      <c r="K142" s="523"/>
      <c r="L142" s="517" t="s">
        <v>25</v>
      </c>
      <c r="M142" s="404"/>
    </row>
    <row r="143" spans="1:13" s="75" customFormat="1" ht="24.75" customHeight="1" thickBot="1">
      <c r="A143" s="432"/>
      <c r="B143" s="412"/>
      <c r="C143" s="433"/>
      <c r="D143" s="424">
        <v>2022</v>
      </c>
      <c r="E143" s="521">
        <f>F143+G143+J143+K143</f>
        <v>155.12</v>
      </c>
      <c r="F143" s="524">
        <f>SUM(F144:F150)</f>
        <v>0</v>
      </c>
      <c r="G143" s="524">
        <f>SUM(G144:G150)</f>
        <v>0</v>
      </c>
      <c r="H143" s="524">
        <f>SUM(H144:H150)</f>
        <v>0</v>
      </c>
      <c r="I143" s="524">
        <f>SUM(I144:I150)</f>
        <v>0</v>
      </c>
      <c r="J143" s="524">
        <f>SUM(J144:J150)</f>
        <v>155.12</v>
      </c>
      <c r="K143" s="525"/>
      <c r="L143" s="532"/>
      <c r="M143" s="404"/>
    </row>
    <row r="144" spans="1:13" s="75" customFormat="1" ht="24.75" customHeight="1">
      <c r="A144" s="432"/>
      <c r="B144" s="412"/>
      <c r="C144" s="433"/>
      <c r="D144" s="424"/>
      <c r="E144" s="423"/>
      <c r="F144" s="69"/>
      <c r="G144" s="126"/>
      <c r="H144" s="69"/>
      <c r="I144" s="126"/>
      <c r="J144" s="126">
        <v>0</v>
      </c>
      <c r="K144" s="527"/>
      <c r="L144" s="530" t="s">
        <v>173</v>
      </c>
      <c r="M144" s="404"/>
    </row>
    <row r="145" spans="1:13" s="75" customFormat="1" ht="24.75" customHeight="1">
      <c r="A145" s="432"/>
      <c r="B145" s="412"/>
      <c r="C145" s="433"/>
      <c r="D145" s="424"/>
      <c r="E145" s="423"/>
      <c r="F145" s="10"/>
      <c r="G145" s="2"/>
      <c r="H145" s="10"/>
      <c r="I145" s="2"/>
      <c r="J145" s="2">
        <v>29.64</v>
      </c>
      <c r="K145" s="528"/>
      <c r="L145" s="531" t="s">
        <v>15</v>
      </c>
      <c r="M145" s="404"/>
    </row>
    <row r="146" spans="1:13" s="75" customFormat="1" ht="24.75" customHeight="1">
      <c r="A146" s="432"/>
      <c r="B146" s="412"/>
      <c r="C146" s="433"/>
      <c r="D146" s="424"/>
      <c r="E146" s="423"/>
      <c r="F146" s="10"/>
      <c r="G146" s="2"/>
      <c r="H146" s="10"/>
      <c r="I146" s="2"/>
      <c r="J146" s="2">
        <v>29.64</v>
      </c>
      <c r="K146" s="528"/>
      <c r="L146" s="531" t="s">
        <v>23</v>
      </c>
      <c r="M146" s="404"/>
    </row>
    <row r="147" spans="1:13" s="75" customFormat="1" ht="24.75" customHeight="1">
      <c r="A147" s="432"/>
      <c r="B147" s="412"/>
      <c r="C147" s="433"/>
      <c r="D147" s="424"/>
      <c r="E147" s="423"/>
      <c r="F147" s="10"/>
      <c r="G147" s="2"/>
      <c r="H147" s="10"/>
      <c r="I147" s="2"/>
      <c r="J147" s="2">
        <v>29.64</v>
      </c>
      <c r="K147" s="528"/>
      <c r="L147" s="531" t="s">
        <v>12</v>
      </c>
      <c r="M147" s="404"/>
    </row>
    <row r="148" spans="1:13" s="75" customFormat="1" ht="24.75" customHeight="1">
      <c r="A148" s="432"/>
      <c r="B148" s="412"/>
      <c r="C148" s="433"/>
      <c r="D148" s="424"/>
      <c r="E148" s="423"/>
      <c r="F148" s="10"/>
      <c r="G148" s="2"/>
      <c r="H148" s="10"/>
      <c r="I148" s="2"/>
      <c r="J148" s="2">
        <v>0</v>
      </c>
      <c r="K148" s="528"/>
      <c r="L148" s="531" t="s">
        <v>178</v>
      </c>
      <c r="M148" s="404"/>
    </row>
    <row r="149" spans="1:13" s="75" customFormat="1" ht="24.75" customHeight="1">
      <c r="A149" s="432"/>
      <c r="B149" s="412"/>
      <c r="C149" s="433"/>
      <c r="D149" s="424"/>
      <c r="E149" s="423"/>
      <c r="F149" s="10"/>
      <c r="G149" s="2"/>
      <c r="H149" s="10"/>
      <c r="I149" s="2"/>
      <c r="J149" s="2">
        <v>33.6</v>
      </c>
      <c r="K149" s="528"/>
      <c r="L149" s="531" t="s">
        <v>24</v>
      </c>
      <c r="M149" s="404"/>
    </row>
    <row r="150" spans="1:13" s="75" customFormat="1" ht="24.75" customHeight="1" thickBot="1">
      <c r="A150" s="432"/>
      <c r="B150" s="434"/>
      <c r="C150" s="435"/>
      <c r="D150" s="424"/>
      <c r="E150" s="535"/>
      <c r="F150" s="125"/>
      <c r="G150" s="57"/>
      <c r="H150" s="125"/>
      <c r="I150" s="57"/>
      <c r="J150" s="57">
        <v>32.6</v>
      </c>
      <c r="K150" s="529"/>
      <c r="L150" s="536" t="s">
        <v>25</v>
      </c>
      <c r="M150" s="404"/>
    </row>
    <row r="151" spans="1:13" s="75" customFormat="1" ht="27.75" customHeight="1" thickBot="1">
      <c r="A151" s="426" t="s">
        <v>85</v>
      </c>
      <c r="B151" s="429" t="s">
        <v>130</v>
      </c>
      <c r="C151" s="533"/>
      <c r="D151" s="537">
        <v>2019</v>
      </c>
      <c r="E151" s="518">
        <f>F151+G151+J151+K151</f>
        <v>47.04</v>
      </c>
      <c r="F151" s="128">
        <f>SUM(F152:F157)</f>
        <v>0</v>
      </c>
      <c r="G151" s="129">
        <f>H151+I151</f>
        <v>0</v>
      </c>
      <c r="H151" s="133">
        <f>SUM(H152:H157)</f>
        <v>0</v>
      </c>
      <c r="I151" s="133">
        <f>SUM(I152:I157)</f>
        <v>0</v>
      </c>
      <c r="J151" s="133">
        <f>SUM(J152:J157)</f>
        <v>47.04</v>
      </c>
      <c r="K151" s="134"/>
      <c r="L151" s="532"/>
      <c r="M151" s="404"/>
    </row>
    <row r="152" spans="1:13" s="75" customFormat="1" ht="24.75" customHeight="1">
      <c r="A152" s="427"/>
      <c r="B152" s="430"/>
      <c r="C152" s="534"/>
      <c r="D152" s="538"/>
      <c r="E152" s="423"/>
      <c r="F152" s="69"/>
      <c r="G152" s="126">
        <f aca="true" t="shared" si="25" ref="G152:G173">H152+I152</f>
        <v>0</v>
      </c>
      <c r="H152" s="69"/>
      <c r="I152" s="126"/>
      <c r="J152" s="126">
        <v>4.5</v>
      </c>
      <c r="K152" s="127"/>
      <c r="L152" s="520" t="s">
        <v>131</v>
      </c>
      <c r="M152" s="404"/>
    </row>
    <row r="153" spans="1:13" s="75" customFormat="1" ht="24.75" customHeight="1">
      <c r="A153" s="427"/>
      <c r="B153" s="430"/>
      <c r="C153" s="534"/>
      <c r="D153" s="538"/>
      <c r="E153" s="423"/>
      <c r="F153" s="10"/>
      <c r="G153" s="2">
        <f t="shared" si="25"/>
        <v>0</v>
      </c>
      <c r="H153" s="10"/>
      <c r="I153" s="2"/>
      <c r="J153" s="2">
        <v>6</v>
      </c>
      <c r="K153" s="11"/>
      <c r="L153" s="512" t="s">
        <v>132</v>
      </c>
      <c r="M153" s="404"/>
    </row>
    <row r="154" spans="1:13" s="75" customFormat="1" ht="24.75" customHeight="1">
      <c r="A154" s="427"/>
      <c r="B154" s="430"/>
      <c r="C154" s="534"/>
      <c r="D154" s="538"/>
      <c r="E154" s="423"/>
      <c r="F154" s="10"/>
      <c r="G154" s="2">
        <f t="shared" si="25"/>
        <v>0</v>
      </c>
      <c r="H154" s="10"/>
      <c r="I154" s="2"/>
      <c r="J154" s="2">
        <v>4.5</v>
      </c>
      <c r="K154" s="11"/>
      <c r="L154" s="512" t="s">
        <v>133</v>
      </c>
      <c r="M154" s="404"/>
    </row>
    <row r="155" spans="1:13" s="75" customFormat="1" ht="24.75" customHeight="1">
      <c r="A155" s="427"/>
      <c r="B155" s="430"/>
      <c r="C155" s="534"/>
      <c r="D155" s="538"/>
      <c r="E155" s="423"/>
      <c r="F155" s="10"/>
      <c r="G155" s="2">
        <f t="shared" si="25"/>
        <v>0</v>
      </c>
      <c r="H155" s="10"/>
      <c r="I155" s="2"/>
      <c r="J155" s="2">
        <v>20.04</v>
      </c>
      <c r="K155" s="11"/>
      <c r="L155" s="512" t="s">
        <v>48</v>
      </c>
      <c r="M155" s="404"/>
    </row>
    <row r="156" spans="1:13" s="75" customFormat="1" ht="24.75" customHeight="1">
      <c r="A156" s="427"/>
      <c r="B156" s="430"/>
      <c r="C156" s="534"/>
      <c r="D156" s="538"/>
      <c r="E156" s="423"/>
      <c r="F156" s="10"/>
      <c r="G156" s="2">
        <f t="shared" si="25"/>
        <v>0</v>
      </c>
      <c r="H156" s="10"/>
      <c r="I156" s="2"/>
      <c r="J156" s="2">
        <v>12</v>
      </c>
      <c r="K156" s="11"/>
      <c r="L156" s="512" t="s">
        <v>3</v>
      </c>
      <c r="M156" s="404"/>
    </row>
    <row r="157" spans="1:13" s="75" customFormat="1" ht="24.75" customHeight="1" thickBot="1">
      <c r="A157" s="427"/>
      <c r="B157" s="430"/>
      <c r="C157" s="534"/>
      <c r="D157" s="539"/>
      <c r="E157" s="514"/>
      <c r="F157" s="66"/>
      <c r="G157" s="522">
        <f t="shared" si="25"/>
        <v>0</v>
      </c>
      <c r="H157" s="66"/>
      <c r="I157" s="522"/>
      <c r="J157" s="522">
        <v>0</v>
      </c>
      <c r="K157" s="523"/>
      <c r="L157" s="517"/>
      <c r="M157" s="404"/>
    </row>
    <row r="158" spans="1:13" s="75" customFormat="1" ht="24.75" customHeight="1" thickBot="1">
      <c r="A158" s="427"/>
      <c r="B158" s="430"/>
      <c r="C158" s="534"/>
      <c r="D158" s="510">
        <v>2020</v>
      </c>
      <c r="E158" s="518">
        <f>F158+G158+J158+K158</f>
        <v>47.04</v>
      </c>
      <c r="F158" s="131"/>
      <c r="G158" s="73">
        <f t="shared" si="25"/>
        <v>0</v>
      </c>
      <c r="H158" s="73">
        <f>H159+H160+H161+H162+H164+H165</f>
        <v>0</v>
      </c>
      <c r="I158" s="73">
        <f>I159+I160+I161+I162+I164+I165</f>
        <v>0</v>
      </c>
      <c r="J158" s="73">
        <f>SUM(J159:J165)</f>
        <v>47.04</v>
      </c>
      <c r="K158" s="132">
        <f>K159+K160+K161+K162+K164+K165</f>
        <v>0</v>
      </c>
      <c r="L158" s="532"/>
      <c r="M158" s="404"/>
    </row>
    <row r="159" spans="1:13" s="75" customFormat="1" ht="25.5" customHeight="1">
      <c r="A159" s="427"/>
      <c r="B159" s="430"/>
      <c r="C159" s="534"/>
      <c r="D159" s="511"/>
      <c r="E159" s="423"/>
      <c r="F159" s="130"/>
      <c r="G159" s="130">
        <f t="shared" si="25"/>
        <v>0</v>
      </c>
      <c r="H159" s="130"/>
      <c r="I159" s="117"/>
      <c r="J159" s="117">
        <v>12</v>
      </c>
      <c r="K159" s="116"/>
      <c r="L159" s="520" t="s">
        <v>173</v>
      </c>
      <c r="M159" s="404"/>
    </row>
    <row r="160" spans="1:13" s="75" customFormat="1" ht="24.75" customHeight="1">
      <c r="A160" s="427"/>
      <c r="B160" s="430"/>
      <c r="C160" s="534"/>
      <c r="D160" s="511"/>
      <c r="E160" s="423"/>
      <c r="F160" s="24"/>
      <c r="G160" s="24">
        <f t="shared" si="25"/>
        <v>0</v>
      </c>
      <c r="H160" s="24"/>
      <c r="I160" s="26"/>
      <c r="J160" s="26">
        <v>4.5</v>
      </c>
      <c r="K160" s="35"/>
      <c r="L160" s="512" t="s">
        <v>15</v>
      </c>
      <c r="M160" s="404"/>
    </row>
    <row r="161" spans="1:13" s="75" customFormat="1" ht="24.75" customHeight="1">
      <c r="A161" s="427"/>
      <c r="B161" s="430"/>
      <c r="C161" s="534"/>
      <c r="D161" s="511"/>
      <c r="E161" s="423"/>
      <c r="F161" s="24"/>
      <c r="G161" s="24">
        <f t="shared" si="25"/>
        <v>0</v>
      </c>
      <c r="H161" s="24"/>
      <c r="I161" s="26"/>
      <c r="J161" s="26">
        <v>6</v>
      </c>
      <c r="K161" s="35"/>
      <c r="L161" s="512" t="s">
        <v>23</v>
      </c>
      <c r="M161" s="404"/>
    </row>
    <row r="162" spans="1:13" s="75" customFormat="1" ht="24.75" customHeight="1">
      <c r="A162" s="427"/>
      <c r="B162" s="430"/>
      <c r="C162" s="534"/>
      <c r="D162" s="511"/>
      <c r="E162" s="423"/>
      <c r="F162" s="24"/>
      <c r="G162" s="24">
        <f t="shared" si="25"/>
        <v>0</v>
      </c>
      <c r="H162" s="24"/>
      <c r="I162" s="26"/>
      <c r="J162" s="26">
        <v>4.5</v>
      </c>
      <c r="K162" s="35"/>
      <c r="L162" s="512" t="s">
        <v>12</v>
      </c>
      <c r="M162" s="404"/>
    </row>
    <row r="163" spans="1:13" s="75" customFormat="1" ht="24.75" customHeight="1">
      <c r="A163" s="427"/>
      <c r="B163" s="430"/>
      <c r="C163" s="534"/>
      <c r="D163" s="511"/>
      <c r="E163" s="423"/>
      <c r="F163" s="24"/>
      <c r="G163" s="24">
        <f t="shared" si="25"/>
        <v>0</v>
      </c>
      <c r="H163" s="24"/>
      <c r="I163" s="26"/>
      <c r="J163" s="2">
        <v>20.04</v>
      </c>
      <c r="K163" s="11"/>
      <c r="L163" s="512" t="s">
        <v>48</v>
      </c>
      <c r="M163" s="404"/>
    </row>
    <row r="164" spans="1:13" s="75" customFormat="1" ht="24.75" customHeight="1">
      <c r="A164" s="427"/>
      <c r="B164" s="430"/>
      <c r="C164" s="534"/>
      <c r="D164" s="511"/>
      <c r="E164" s="423"/>
      <c r="F164" s="24"/>
      <c r="G164" s="24">
        <f t="shared" si="25"/>
        <v>0</v>
      </c>
      <c r="H164" s="24"/>
      <c r="I164" s="26"/>
      <c r="J164" s="26">
        <v>0</v>
      </c>
      <c r="K164" s="35"/>
      <c r="L164" s="512" t="s">
        <v>24</v>
      </c>
      <c r="M164" s="404"/>
    </row>
    <row r="165" spans="1:13" s="75" customFormat="1" ht="24.75" customHeight="1" thickBot="1">
      <c r="A165" s="427"/>
      <c r="B165" s="430"/>
      <c r="C165" s="534"/>
      <c r="D165" s="513"/>
      <c r="E165" s="514"/>
      <c r="F165" s="177"/>
      <c r="G165" s="177">
        <f t="shared" si="25"/>
        <v>0</v>
      </c>
      <c r="H165" s="177"/>
      <c r="I165" s="185"/>
      <c r="J165" s="185">
        <v>0</v>
      </c>
      <c r="K165" s="178"/>
      <c r="L165" s="517" t="s">
        <v>25</v>
      </c>
      <c r="M165" s="404"/>
    </row>
    <row r="166" spans="1:13" s="75" customFormat="1" ht="24.75" customHeight="1" thickBot="1">
      <c r="A166" s="427"/>
      <c r="B166" s="430"/>
      <c r="C166" s="534"/>
      <c r="D166" s="510">
        <v>2021</v>
      </c>
      <c r="E166" s="518">
        <f>F166+G166+J166+K166</f>
        <v>47.04</v>
      </c>
      <c r="F166" s="131"/>
      <c r="G166" s="73">
        <f t="shared" si="25"/>
        <v>0</v>
      </c>
      <c r="H166" s="73">
        <f>H167+H168+H169+H170+H172+H173</f>
        <v>0</v>
      </c>
      <c r="I166" s="73">
        <f>I167+I168+I169+I170+I172+I173</f>
        <v>0</v>
      </c>
      <c r="J166" s="73">
        <f>SUM(J167:J173)</f>
        <v>47.04</v>
      </c>
      <c r="K166" s="73">
        <f>K167+K168+K169+K170+K172+K173</f>
        <v>0</v>
      </c>
      <c r="L166" s="201"/>
      <c r="M166" s="404"/>
    </row>
    <row r="167" spans="1:13" s="75" customFormat="1" ht="24.75" customHeight="1">
      <c r="A167" s="427"/>
      <c r="B167" s="430"/>
      <c r="C167" s="534"/>
      <c r="D167" s="511"/>
      <c r="E167" s="423"/>
      <c r="F167" s="130"/>
      <c r="G167" s="130">
        <f t="shared" si="25"/>
        <v>0</v>
      </c>
      <c r="H167" s="130"/>
      <c r="I167" s="117"/>
      <c r="J167" s="117">
        <v>12</v>
      </c>
      <c r="K167" s="116"/>
      <c r="L167" s="520" t="s">
        <v>173</v>
      </c>
      <c r="M167" s="404"/>
    </row>
    <row r="168" spans="1:13" s="75" customFormat="1" ht="24.75" customHeight="1">
      <c r="A168" s="427"/>
      <c r="B168" s="430"/>
      <c r="C168" s="534"/>
      <c r="D168" s="511"/>
      <c r="E168" s="423"/>
      <c r="F168" s="24"/>
      <c r="G168" s="24">
        <f t="shared" si="25"/>
        <v>0</v>
      </c>
      <c r="H168" s="24"/>
      <c r="I168" s="26"/>
      <c r="J168" s="26">
        <v>4.5</v>
      </c>
      <c r="K168" s="35"/>
      <c r="L168" s="512" t="s">
        <v>15</v>
      </c>
      <c r="M168" s="404"/>
    </row>
    <row r="169" spans="1:13" s="75" customFormat="1" ht="24.75" customHeight="1">
      <c r="A169" s="427"/>
      <c r="B169" s="430"/>
      <c r="C169" s="534"/>
      <c r="D169" s="511"/>
      <c r="E169" s="423"/>
      <c r="F169" s="24"/>
      <c r="G169" s="24">
        <f t="shared" si="25"/>
        <v>0</v>
      </c>
      <c r="H169" s="24"/>
      <c r="I169" s="26"/>
      <c r="J169" s="26">
        <v>6</v>
      </c>
      <c r="K169" s="35"/>
      <c r="L169" s="512" t="s">
        <v>23</v>
      </c>
      <c r="M169" s="404"/>
    </row>
    <row r="170" spans="1:13" s="75" customFormat="1" ht="24.75" customHeight="1">
      <c r="A170" s="427"/>
      <c r="B170" s="430"/>
      <c r="C170" s="534"/>
      <c r="D170" s="511"/>
      <c r="E170" s="423"/>
      <c r="F170" s="24"/>
      <c r="G170" s="24">
        <f t="shared" si="25"/>
        <v>0</v>
      </c>
      <c r="H170" s="24"/>
      <c r="I170" s="26"/>
      <c r="J170" s="26">
        <v>4.5</v>
      </c>
      <c r="K170" s="35"/>
      <c r="L170" s="512" t="s">
        <v>12</v>
      </c>
      <c r="M170" s="404"/>
    </row>
    <row r="171" spans="1:13" s="75" customFormat="1" ht="24.75" customHeight="1">
      <c r="A171" s="427"/>
      <c r="B171" s="430"/>
      <c r="C171" s="534"/>
      <c r="D171" s="511"/>
      <c r="E171" s="423"/>
      <c r="F171" s="24"/>
      <c r="G171" s="24">
        <f t="shared" si="25"/>
        <v>0</v>
      </c>
      <c r="H171" s="24"/>
      <c r="I171" s="26"/>
      <c r="J171" s="26">
        <v>20.04</v>
      </c>
      <c r="K171" s="35"/>
      <c r="L171" s="512" t="s">
        <v>48</v>
      </c>
      <c r="M171" s="404"/>
    </row>
    <row r="172" spans="1:13" s="75" customFormat="1" ht="24.75" customHeight="1">
      <c r="A172" s="427"/>
      <c r="B172" s="430"/>
      <c r="C172" s="534"/>
      <c r="D172" s="511"/>
      <c r="E172" s="423"/>
      <c r="F172" s="24"/>
      <c r="G172" s="24">
        <f t="shared" si="25"/>
        <v>0</v>
      </c>
      <c r="H172" s="24"/>
      <c r="I172" s="26"/>
      <c r="J172" s="26">
        <v>0</v>
      </c>
      <c r="K172" s="35"/>
      <c r="L172" s="512" t="s">
        <v>24</v>
      </c>
      <c r="M172" s="404"/>
    </row>
    <row r="173" spans="1:13" s="75" customFormat="1" ht="24.75" customHeight="1" thickBot="1">
      <c r="A173" s="427"/>
      <c r="B173" s="430"/>
      <c r="C173" s="534"/>
      <c r="D173" s="513"/>
      <c r="E173" s="514"/>
      <c r="F173" s="177"/>
      <c r="G173" s="177">
        <f t="shared" si="25"/>
        <v>0</v>
      </c>
      <c r="H173" s="177"/>
      <c r="I173" s="185"/>
      <c r="J173" s="185">
        <v>0</v>
      </c>
      <c r="K173" s="178"/>
      <c r="L173" s="517" t="s">
        <v>25</v>
      </c>
      <c r="M173" s="404"/>
    </row>
    <row r="174" spans="1:13" s="75" customFormat="1" ht="24" customHeight="1" thickBot="1">
      <c r="A174" s="427"/>
      <c r="B174" s="430"/>
      <c r="C174" s="534"/>
      <c r="D174" s="537">
        <v>2022</v>
      </c>
      <c r="E174" s="518">
        <f>F174+G174+J174+K174</f>
        <v>47.04</v>
      </c>
      <c r="F174" s="131"/>
      <c r="G174" s="73">
        <f>SUM(G175:G181)</f>
        <v>0</v>
      </c>
      <c r="H174" s="73">
        <f>SUM(H175:H181)</f>
        <v>0</v>
      </c>
      <c r="I174" s="73">
        <f>SUM(I175:I181)</f>
        <v>0</v>
      </c>
      <c r="J174" s="73">
        <f>SUM(J175:J181)</f>
        <v>47.04</v>
      </c>
      <c r="K174" s="73">
        <f>SUM(K175:K181)</f>
        <v>0</v>
      </c>
      <c r="L174" s="526"/>
      <c r="M174" s="275"/>
    </row>
    <row r="175" spans="1:13" s="75" customFormat="1" ht="36" customHeight="1">
      <c r="A175" s="427"/>
      <c r="B175" s="430"/>
      <c r="C175" s="534"/>
      <c r="D175" s="538"/>
      <c r="E175" s="423"/>
      <c r="F175" s="130"/>
      <c r="G175" s="130"/>
      <c r="H175" s="130"/>
      <c r="I175" s="117"/>
      <c r="J175" s="117">
        <v>12</v>
      </c>
      <c r="K175" s="116"/>
      <c r="L175" s="512" t="s">
        <v>173</v>
      </c>
      <c r="M175" s="275"/>
    </row>
    <row r="176" spans="1:13" s="75" customFormat="1" ht="24.75" customHeight="1">
      <c r="A176" s="427"/>
      <c r="B176" s="430"/>
      <c r="C176" s="534"/>
      <c r="D176" s="538"/>
      <c r="E176" s="423"/>
      <c r="F176" s="24"/>
      <c r="G176" s="24"/>
      <c r="H176" s="24"/>
      <c r="I176" s="26"/>
      <c r="J176" s="26">
        <v>4.5</v>
      </c>
      <c r="K176" s="35"/>
      <c r="L176" s="512" t="s">
        <v>15</v>
      </c>
      <c r="M176" s="275"/>
    </row>
    <row r="177" spans="1:13" s="75" customFormat="1" ht="24.75" customHeight="1">
      <c r="A177" s="427"/>
      <c r="B177" s="430"/>
      <c r="C177" s="534"/>
      <c r="D177" s="538"/>
      <c r="E177" s="423"/>
      <c r="F177" s="24"/>
      <c r="G177" s="24"/>
      <c r="H177" s="24"/>
      <c r="I177" s="26"/>
      <c r="J177" s="26">
        <v>6</v>
      </c>
      <c r="K177" s="35"/>
      <c r="L177" s="512" t="s">
        <v>23</v>
      </c>
      <c r="M177" s="275"/>
    </row>
    <row r="178" spans="1:13" s="75" customFormat="1" ht="24.75" customHeight="1">
      <c r="A178" s="427"/>
      <c r="B178" s="430"/>
      <c r="C178" s="534"/>
      <c r="D178" s="538"/>
      <c r="E178" s="423"/>
      <c r="F178" s="24"/>
      <c r="G178" s="24"/>
      <c r="H178" s="24"/>
      <c r="I178" s="26"/>
      <c r="J178" s="26">
        <v>4.5</v>
      </c>
      <c r="K178" s="35"/>
      <c r="L178" s="512" t="s">
        <v>12</v>
      </c>
      <c r="M178" s="275"/>
    </row>
    <row r="179" spans="1:13" s="75" customFormat="1" ht="24.75" customHeight="1">
      <c r="A179" s="427"/>
      <c r="B179" s="430"/>
      <c r="C179" s="534"/>
      <c r="D179" s="538"/>
      <c r="E179" s="423"/>
      <c r="F179" s="24"/>
      <c r="G179" s="24"/>
      <c r="H179" s="24"/>
      <c r="I179" s="26"/>
      <c r="J179" s="26">
        <v>20.04</v>
      </c>
      <c r="K179" s="35"/>
      <c r="L179" s="512" t="s">
        <v>48</v>
      </c>
      <c r="M179" s="275"/>
    </row>
    <row r="180" spans="1:13" s="75" customFormat="1" ht="24.75" customHeight="1">
      <c r="A180" s="427"/>
      <c r="B180" s="430"/>
      <c r="C180" s="534"/>
      <c r="D180" s="538"/>
      <c r="E180" s="423"/>
      <c r="F180" s="24"/>
      <c r="G180" s="24"/>
      <c r="H180" s="24"/>
      <c r="I180" s="26"/>
      <c r="J180" s="26">
        <v>0</v>
      </c>
      <c r="K180" s="35"/>
      <c r="L180" s="512" t="s">
        <v>24</v>
      </c>
      <c r="M180" s="275"/>
    </row>
    <row r="181" spans="1:13" s="75" customFormat="1" ht="24.75" customHeight="1" thickBot="1">
      <c r="A181" s="428"/>
      <c r="B181" s="431"/>
      <c r="C181" s="540"/>
      <c r="D181" s="539"/>
      <c r="E181" s="514"/>
      <c r="F181" s="177"/>
      <c r="G181" s="177"/>
      <c r="H181" s="177"/>
      <c r="I181" s="185"/>
      <c r="J181" s="185">
        <v>0</v>
      </c>
      <c r="K181" s="178"/>
      <c r="L181" s="517" t="s">
        <v>25</v>
      </c>
      <c r="M181" s="275"/>
    </row>
    <row r="182" spans="1:13" s="75" customFormat="1" ht="24.75" customHeight="1">
      <c r="A182" s="425" t="s">
        <v>226</v>
      </c>
      <c r="B182" s="337" t="s">
        <v>209</v>
      </c>
      <c r="C182" s="337"/>
      <c r="D182" s="541">
        <v>2017</v>
      </c>
      <c r="E182" s="130">
        <f aca="true" t="shared" si="26" ref="E182:E189">F182+G182+J182+K182</f>
        <v>169.78</v>
      </c>
      <c r="F182" s="130"/>
      <c r="G182" s="130">
        <f aca="true" t="shared" si="27" ref="G182:G189">H182+I182</f>
        <v>155.2</v>
      </c>
      <c r="H182" s="130"/>
      <c r="I182" s="130">
        <v>155.2</v>
      </c>
      <c r="J182" s="130">
        <f>15-0.42</f>
        <v>14.58</v>
      </c>
      <c r="K182" s="116"/>
      <c r="L182" s="119" t="s">
        <v>50</v>
      </c>
      <c r="M182" s="337" t="s">
        <v>59</v>
      </c>
    </row>
    <row r="183" spans="1:13" s="75" customFormat="1" ht="24.75" customHeight="1">
      <c r="A183" s="425"/>
      <c r="B183" s="337"/>
      <c r="C183" s="337"/>
      <c r="D183" s="42">
        <v>2018</v>
      </c>
      <c r="E183" s="24">
        <f t="shared" si="26"/>
        <v>162.2</v>
      </c>
      <c r="F183" s="24"/>
      <c r="G183" s="24">
        <f t="shared" si="27"/>
        <v>162.2</v>
      </c>
      <c r="H183" s="24"/>
      <c r="I183" s="24">
        <v>162.2</v>
      </c>
      <c r="J183" s="26"/>
      <c r="K183" s="35"/>
      <c r="L183" s="6" t="s">
        <v>50</v>
      </c>
      <c r="M183" s="337"/>
    </row>
    <row r="184" spans="1:13" s="75" customFormat="1" ht="24.75" customHeight="1">
      <c r="A184" s="425"/>
      <c r="B184" s="337"/>
      <c r="C184" s="337"/>
      <c r="D184" s="42">
        <v>2019</v>
      </c>
      <c r="E184" s="24">
        <f t="shared" si="26"/>
        <v>481.1</v>
      </c>
      <c r="F184" s="24"/>
      <c r="G184" s="24">
        <f t="shared" si="27"/>
        <v>481.1</v>
      </c>
      <c r="H184" s="24"/>
      <c r="I184" s="24">
        <v>481.1</v>
      </c>
      <c r="J184" s="26"/>
      <c r="K184" s="35"/>
      <c r="L184" s="6" t="s">
        <v>50</v>
      </c>
      <c r="M184" s="337"/>
    </row>
    <row r="185" spans="1:13" s="75" customFormat="1" ht="24.75" customHeight="1">
      <c r="A185" s="425"/>
      <c r="B185" s="337"/>
      <c r="C185" s="337"/>
      <c r="D185" s="42">
        <v>2020</v>
      </c>
      <c r="E185" s="24">
        <f>F185+G185+J185+K185</f>
        <v>163.2</v>
      </c>
      <c r="F185" s="24"/>
      <c r="G185" s="24">
        <f t="shared" si="27"/>
        <v>163.2</v>
      </c>
      <c r="H185" s="24"/>
      <c r="I185" s="24">
        <v>163.2</v>
      </c>
      <c r="J185" s="26"/>
      <c r="K185" s="35"/>
      <c r="L185" s="6" t="s">
        <v>50</v>
      </c>
      <c r="M185" s="337"/>
    </row>
    <row r="186" spans="1:13" s="75" customFormat="1" ht="24.75" customHeight="1">
      <c r="A186" s="425"/>
      <c r="B186" s="337"/>
      <c r="C186" s="337"/>
      <c r="D186" s="42">
        <v>2021</v>
      </c>
      <c r="E186" s="24">
        <f>F186+G186+J186+K186</f>
        <v>163.2</v>
      </c>
      <c r="F186" s="24"/>
      <c r="G186" s="24">
        <f>H186+I186</f>
        <v>163.2</v>
      </c>
      <c r="H186" s="24"/>
      <c r="I186" s="24">
        <v>163.2</v>
      </c>
      <c r="J186" s="26"/>
      <c r="K186" s="35"/>
      <c r="L186" s="6" t="s">
        <v>50</v>
      </c>
      <c r="M186" s="337"/>
    </row>
    <row r="187" spans="1:13" s="75" customFormat="1" ht="24.75" customHeight="1" thickBot="1">
      <c r="A187" s="542"/>
      <c r="B187" s="339"/>
      <c r="C187" s="339"/>
      <c r="D187" s="274">
        <v>2022</v>
      </c>
      <c r="E187" s="105">
        <f t="shared" si="26"/>
        <v>163.2</v>
      </c>
      <c r="F187" s="105"/>
      <c r="G187" s="105">
        <f t="shared" si="27"/>
        <v>163.2</v>
      </c>
      <c r="H187" s="105"/>
      <c r="I187" s="105">
        <v>163.2</v>
      </c>
      <c r="J187" s="72"/>
      <c r="K187" s="115"/>
      <c r="L187" s="118" t="s">
        <v>50</v>
      </c>
      <c r="M187" s="337"/>
    </row>
    <row r="188" spans="1:13" s="75" customFormat="1" ht="54" customHeight="1" thickBot="1">
      <c r="A188" s="545" t="s">
        <v>118</v>
      </c>
      <c r="B188" s="546" t="s">
        <v>208</v>
      </c>
      <c r="C188" s="546"/>
      <c r="D188" s="547">
        <v>2019</v>
      </c>
      <c r="E188" s="73">
        <f>F188+G188+J188+K188</f>
        <v>96.58</v>
      </c>
      <c r="F188" s="73"/>
      <c r="G188" s="73">
        <f>H188+I188</f>
        <v>0</v>
      </c>
      <c r="H188" s="73"/>
      <c r="I188" s="73"/>
      <c r="J188" s="73">
        <v>96.58</v>
      </c>
      <c r="K188" s="548"/>
      <c r="L188" s="201" t="s">
        <v>184</v>
      </c>
      <c r="M188" s="275"/>
    </row>
    <row r="189" spans="1:13" s="75" customFormat="1" ht="71.25" customHeight="1" thickBot="1">
      <c r="A189" s="273" t="s">
        <v>171</v>
      </c>
      <c r="B189" s="543" t="s">
        <v>86</v>
      </c>
      <c r="C189" s="543"/>
      <c r="D189" s="541">
        <v>2017</v>
      </c>
      <c r="E189" s="181">
        <f t="shared" si="26"/>
        <v>2375.768</v>
      </c>
      <c r="F189" s="130"/>
      <c r="G189" s="130">
        <f t="shared" si="27"/>
        <v>0</v>
      </c>
      <c r="H189" s="544"/>
      <c r="I189" s="544"/>
      <c r="J189" s="130">
        <v>2375.768</v>
      </c>
      <c r="K189" s="116"/>
      <c r="L189" s="246" t="s">
        <v>41</v>
      </c>
      <c r="M189" s="23" t="s">
        <v>65</v>
      </c>
    </row>
    <row r="190" spans="1:13" s="87" customFormat="1" ht="46.5" customHeight="1" thickBot="1">
      <c r="A190" s="231" t="s">
        <v>259</v>
      </c>
      <c r="B190" s="416" t="s">
        <v>160</v>
      </c>
      <c r="C190" s="416"/>
      <c r="D190" s="264">
        <v>2019</v>
      </c>
      <c r="E190" s="265">
        <f>F190+G190+J190+K190</f>
        <v>330</v>
      </c>
      <c r="F190" s="266"/>
      <c r="G190" s="175">
        <f>H190+I190</f>
        <v>0</v>
      </c>
      <c r="H190" s="175">
        <v>0</v>
      </c>
      <c r="I190" s="175">
        <v>0</v>
      </c>
      <c r="J190" s="175">
        <f>330.278-0.278</f>
        <v>330</v>
      </c>
      <c r="K190" s="267"/>
      <c r="L190" s="268" t="s">
        <v>165</v>
      </c>
      <c r="M190" s="269"/>
    </row>
    <row r="191" spans="1:13" s="107" customFormat="1" ht="38.25" customHeight="1" hidden="1" thickBot="1">
      <c r="A191" s="549" t="s">
        <v>171</v>
      </c>
      <c r="B191" s="550"/>
      <c r="C191" s="551"/>
      <c r="D191" s="124"/>
      <c r="E191" s="111"/>
      <c r="F191" s="181"/>
      <c r="G191" s="111"/>
      <c r="H191" s="111"/>
      <c r="I191" s="111"/>
      <c r="J191" s="111"/>
      <c r="K191" s="552"/>
      <c r="L191" s="246"/>
      <c r="M191" s="205"/>
    </row>
    <row r="192" spans="1:13" s="107" customFormat="1" ht="91.5" customHeight="1" thickBot="1">
      <c r="A192" s="231" t="s">
        <v>274</v>
      </c>
      <c r="B192" s="553" t="s">
        <v>177</v>
      </c>
      <c r="C192" s="553"/>
      <c r="D192" s="554">
        <v>2019</v>
      </c>
      <c r="E192" s="555">
        <f>F192+G192+J192+K192</f>
        <v>80.293</v>
      </c>
      <c r="F192" s="73"/>
      <c r="G192" s="556">
        <f>H192+I192</f>
        <v>0</v>
      </c>
      <c r="H192" s="556">
        <v>0</v>
      </c>
      <c r="I192" s="556">
        <v>0</v>
      </c>
      <c r="J192" s="556">
        <f>19+61.293</f>
        <v>80.293</v>
      </c>
      <c r="K192" s="548">
        <v>0</v>
      </c>
      <c r="L192" s="201" t="s">
        <v>3</v>
      </c>
      <c r="M192" s="112" t="s">
        <v>176</v>
      </c>
    </row>
    <row r="193" spans="1:13" s="107" customFormat="1" ht="352.5" customHeight="1" thickBot="1">
      <c r="A193" s="86" t="s">
        <v>275</v>
      </c>
      <c r="B193" s="553" t="s">
        <v>217</v>
      </c>
      <c r="C193" s="553"/>
      <c r="D193" s="557">
        <v>2019</v>
      </c>
      <c r="E193" s="556">
        <f>F193+G193+J193+K193</f>
        <v>0</v>
      </c>
      <c r="F193" s="73"/>
      <c r="G193" s="556">
        <f>H193+I193</f>
        <v>0</v>
      </c>
      <c r="H193" s="556">
        <v>0</v>
      </c>
      <c r="I193" s="556">
        <v>0</v>
      </c>
      <c r="J193" s="556">
        <v>0</v>
      </c>
      <c r="K193" s="548">
        <v>0</v>
      </c>
      <c r="L193" s="558" t="s">
        <v>172</v>
      </c>
      <c r="M193" s="559" t="s">
        <v>218</v>
      </c>
    </row>
    <row r="194" spans="1:13" s="75" customFormat="1" ht="34.5" customHeight="1">
      <c r="A194" s="417"/>
      <c r="B194" s="418" t="s">
        <v>32</v>
      </c>
      <c r="C194" s="418"/>
      <c r="D194" s="182">
        <v>2017</v>
      </c>
      <c r="E194" s="130">
        <f>E56+E72+E78+E85+E91+E98+E104+E182+E189</f>
        <v>3516.342</v>
      </c>
      <c r="F194" s="130">
        <f>F56+F72+F78+F85+F91+F98+F104+F182+F189</f>
        <v>0</v>
      </c>
      <c r="G194" s="130">
        <f>G56+G72+G78+G85+G91+G98+G104+G182+G189</f>
        <v>205.2</v>
      </c>
      <c r="H194" s="130">
        <f>H56+H72+H78+H85+H91+H98+H104+H182+H189</f>
        <v>0</v>
      </c>
      <c r="I194" s="130">
        <f>I56+I72+I78+I85+I91+I98+I104+I182+I189</f>
        <v>205.2</v>
      </c>
      <c r="J194" s="130">
        <f>J56+J72+J78+J85+J91+J98+J104+J182+J189</f>
        <v>3311.142</v>
      </c>
      <c r="K194" s="130">
        <f>K56+K72+K78+K85+K91+K98+K104+K182+K189</f>
        <v>0</v>
      </c>
      <c r="L194" s="202"/>
      <c r="M194" s="420"/>
    </row>
    <row r="195" spans="1:13" s="75" customFormat="1" ht="32.25" customHeight="1">
      <c r="A195" s="308"/>
      <c r="B195" s="419"/>
      <c r="C195" s="419"/>
      <c r="D195" s="43">
        <v>2018</v>
      </c>
      <c r="E195" s="24">
        <f>E57+E73+E79+E86+E93+E99+E111+E183</f>
        <v>3449.7360099999996</v>
      </c>
      <c r="F195" s="24">
        <f>F57+F73+F79+F86+F93+F99+F111+F183</f>
        <v>0</v>
      </c>
      <c r="G195" s="24">
        <f>G57+G73+G79+G86+G93+G99+G111+G183</f>
        <v>162.2</v>
      </c>
      <c r="H195" s="24">
        <f>H57+H73+H79+H86+H93+H99+H111+H183</f>
        <v>0</v>
      </c>
      <c r="I195" s="24">
        <f>I57+I73+I79+I86+I93+I99+I111+I183</f>
        <v>162.2</v>
      </c>
      <c r="J195" s="24">
        <f>J57+J73+J79+J86+J93+J99+J111+J183</f>
        <v>3287.53601</v>
      </c>
      <c r="K195" s="24">
        <f>K57+K73+K79+K86+K93+K99+K111+K183</f>
        <v>0</v>
      </c>
      <c r="L195" s="203"/>
      <c r="M195" s="420"/>
    </row>
    <row r="196" spans="1:13" s="75" customFormat="1" ht="32.25" customHeight="1">
      <c r="A196" s="308"/>
      <c r="B196" s="419"/>
      <c r="C196" s="419"/>
      <c r="D196" s="43">
        <v>2019</v>
      </c>
      <c r="E196" s="24">
        <f>E58+E74+E81+E87+E94+E100+E119+E151+E184+E188+E190+E192+E193</f>
        <v>1852.0430000000001</v>
      </c>
      <c r="F196" s="24">
        <f>F58+F74+F81+F87+F94+F100+F119+F151+F184+F188+F190+F192+F193</f>
        <v>0</v>
      </c>
      <c r="G196" s="24">
        <f>G58+G74+G81+G87+G94+G100+G119+G151+G184+G188+G190+G192+G193</f>
        <v>531.1</v>
      </c>
      <c r="H196" s="24">
        <f>H58+H74+H81+H87+H94+H100+H119+H151+H184+H188+H190+H192+H193</f>
        <v>0</v>
      </c>
      <c r="I196" s="24">
        <f>I58+I74+I81+I87+I94+I100+I119+I151+I184+I188+I190+I192+I193</f>
        <v>531.1</v>
      </c>
      <c r="J196" s="24">
        <f>J58+J74+J81+J87+J94+J100+J119+J151+J184+J188+J190+J192+J193</f>
        <v>1320.9430000000002</v>
      </c>
      <c r="K196" s="24">
        <f>K58+K74+K81+K87+K94+K100+K119+K151+K184+K188+K190+K192+K193</f>
        <v>0</v>
      </c>
      <c r="L196" s="204"/>
      <c r="M196" s="420"/>
    </row>
    <row r="197" spans="1:13" s="75" customFormat="1" ht="32.25" customHeight="1">
      <c r="A197" s="308"/>
      <c r="B197" s="419"/>
      <c r="C197" s="419"/>
      <c r="D197" s="43">
        <v>2020</v>
      </c>
      <c r="E197" s="24">
        <f>E59+E75+E82+E88+E95+E101+E127+E158+E185+E41</f>
        <v>1893.6599999999999</v>
      </c>
      <c r="F197" s="24">
        <f>F59+F75+F82+F88+F95+F101+F127+F158+F185+F41</f>
        <v>0</v>
      </c>
      <c r="G197" s="24">
        <f>G59+G75+G82+G88+G95+G101+G127+G158+G185+G41</f>
        <v>1280.2</v>
      </c>
      <c r="H197" s="24">
        <f>H59+H75+H82+H88+H95+H101+H127+H158+H185+H41</f>
        <v>1094.7</v>
      </c>
      <c r="I197" s="24">
        <f>I59+I75+I82+I88+I95+I101+I127+I158+I185+I41</f>
        <v>185.5</v>
      </c>
      <c r="J197" s="24">
        <f>J59+J75+J82+J88+J95+J101+J127+J158+J185+J41</f>
        <v>613.4599999999998</v>
      </c>
      <c r="K197" s="24">
        <f>K59+K75+K82+K88+K95+K101+K127+K158+K185+K41</f>
        <v>0</v>
      </c>
      <c r="L197" s="203"/>
      <c r="M197" s="420"/>
    </row>
    <row r="198" spans="1:13" s="75" customFormat="1" ht="32.25" customHeight="1">
      <c r="A198" s="308"/>
      <c r="B198" s="419"/>
      <c r="C198" s="419"/>
      <c r="D198" s="41">
        <v>2021</v>
      </c>
      <c r="E198" s="24">
        <f>E42+E55+E60+E76+E83+E89+E96+E102+E135+E166+E186</f>
        <v>7592.26</v>
      </c>
      <c r="F198" s="24">
        <f>F42+F55+F60+F76+F83+F89+F96+F102+F135+F166+F186</f>
        <v>0</v>
      </c>
      <c r="G198" s="24">
        <f>G42+G55+G60+G76+G83+G89+G96+G102+G135+G166+G186</f>
        <v>6799.3</v>
      </c>
      <c r="H198" s="24">
        <f>H42+H55+H60+H76+H83+H89+H96+H102+H135+H166+H186</f>
        <v>6413.4</v>
      </c>
      <c r="I198" s="24">
        <f>I42+I55+I60+I76+I83+I89+I96+I102+I135+I166+I186</f>
        <v>385.9</v>
      </c>
      <c r="J198" s="24">
        <f>J42+J55+J60+J76+J83+J89+J96+J102+J135+J166+J186</f>
        <v>792.96</v>
      </c>
      <c r="K198" s="24">
        <f>K42+K55+K60+K76+K83+K89+K96+K102+K135+K166+K186</f>
        <v>0</v>
      </c>
      <c r="L198" s="203"/>
      <c r="M198" s="420"/>
    </row>
    <row r="199" spans="1:13" s="75" customFormat="1" ht="29.25" customHeight="1">
      <c r="A199" s="308"/>
      <c r="B199" s="419"/>
      <c r="C199" s="419"/>
      <c r="D199" s="41">
        <v>2022</v>
      </c>
      <c r="E199" s="24">
        <f>E43+E61+E77+E84+E90+E97+E143+E174+E187</f>
        <v>1857.36</v>
      </c>
      <c r="F199" s="24">
        <f>F43+F61+F77+F84+F90+F97+F143+F174+F187</f>
        <v>0</v>
      </c>
      <c r="G199" s="24">
        <f>G43+G61+G77+G84+G90+G97+G143+G174+G187</f>
        <v>1113.2</v>
      </c>
      <c r="H199" s="24">
        <f>H43+H61+H77+H84+H90+H97+H143+H174+H187</f>
        <v>836</v>
      </c>
      <c r="I199" s="24">
        <f>I43+I61+I77+I84+I90+I97+I143+I174+I187</f>
        <v>277.2</v>
      </c>
      <c r="J199" s="24">
        <f>J43+J61+J77+J84+J90+J97+J143+J174+J187</f>
        <v>744.16</v>
      </c>
      <c r="K199" s="24">
        <f>K43+K61+K77+K84+K90+K97+K143+K174+K187</f>
        <v>0</v>
      </c>
      <c r="L199" s="203"/>
      <c r="M199" s="420"/>
    </row>
    <row r="200" spans="1:13" s="75" customFormat="1" ht="29.25" customHeight="1">
      <c r="A200" s="421" t="s">
        <v>134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9"/>
    </row>
    <row r="201" spans="1:13" s="75" customFormat="1" ht="43.5" customHeight="1">
      <c r="A201" s="407" t="s">
        <v>135</v>
      </c>
      <c r="B201" s="408"/>
      <c r="C201" s="408"/>
      <c r="D201" s="408"/>
      <c r="E201" s="408"/>
      <c r="F201" s="408"/>
      <c r="G201" s="408"/>
      <c r="H201" s="408"/>
      <c r="I201" s="408"/>
      <c r="J201" s="408"/>
      <c r="K201" s="408"/>
      <c r="L201" s="408"/>
      <c r="M201" s="409"/>
    </row>
    <row r="202" spans="1:13" s="75" customFormat="1" ht="106.5" customHeight="1">
      <c r="A202" s="407" t="s">
        <v>159</v>
      </c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408"/>
      <c r="M202" s="409"/>
    </row>
    <row r="203" spans="1:13" s="75" customFormat="1" ht="27" customHeight="1">
      <c r="A203" s="407" t="s">
        <v>2</v>
      </c>
      <c r="B203" s="408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9"/>
    </row>
    <row r="204" spans="1:13" s="75" customFormat="1" ht="37.5" customHeight="1">
      <c r="A204" s="338" t="s">
        <v>104</v>
      </c>
      <c r="B204" s="401" t="s">
        <v>151</v>
      </c>
      <c r="C204" s="8" t="s">
        <v>154</v>
      </c>
      <c r="D204" s="4">
        <v>2017</v>
      </c>
      <c r="E204" s="13">
        <f>F204+G204+J204+K204</f>
        <v>15500.856</v>
      </c>
      <c r="F204" s="12"/>
      <c r="G204" s="13">
        <f>H204+I204</f>
        <v>0</v>
      </c>
      <c r="H204" s="13"/>
      <c r="I204" s="13"/>
      <c r="J204" s="13">
        <f>J256+J257+J258+J259+J260+J262</f>
        <v>15500.856</v>
      </c>
      <c r="K204" s="14">
        <v>0</v>
      </c>
      <c r="L204" s="5" t="s">
        <v>38</v>
      </c>
      <c r="M204" s="337" t="s">
        <v>68</v>
      </c>
    </row>
    <row r="205" spans="1:13" s="75" customFormat="1" ht="37.5" customHeight="1">
      <c r="A205" s="410"/>
      <c r="B205" s="402"/>
      <c r="C205" s="23" t="s">
        <v>136</v>
      </c>
      <c r="D205" s="44"/>
      <c r="E205" s="13">
        <f>F205+G205+J205+K205</f>
        <v>10933.428</v>
      </c>
      <c r="F205" s="12"/>
      <c r="G205" s="13">
        <f>H205+I205</f>
        <v>0</v>
      </c>
      <c r="H205" s="13"/>
      <c r="I205" s="13"/>
      <c r="J205" s="13">
        <f>J261</f>
        <v>10933.428</v>
      </c>
      <c r="K205" s="14">
        <v>0</v>
      </c>
      <c r="L205" s="5" t="s">
        <v>7</v>
      </c>
      <c r="M205" s="337"/>
    </row>
    <row r="206" spans="1:13" s="75" customFormat="1" ht="37.5" customHeight="1">
      <c r="A206" s="410"/>
      <c r="B206" s="402"/>
      <c r="C206" s="8" t="s">
        <v>154</v>
      </c>
      <c r="D206" s="4">
        <v>2018</v>
      </c>
      <c r="E206" s="13">
        <f>F206+G206+J206+K206</f>
        <v>28543.359</v>
      </c>
      <c r="F206" s="13"/>
      <c r="G206" s="13">
        <f>H206+I206</f>
        <v>0</v>
      </c>
      <c r="H206" s="13">
        <v>0</v>
      </c>
      <c r="I206" s="13">
        <v>0</v>
      </c>
      <c r="J206" s="13">
        <f>SUM(J207:J220)</f>
        <v>28543.359</v>
      </c>
      <c r="K206" s="40">
        <v>0</v>
      </c>
      <c r="L206" s="5"/>
      <c r="M206" s="337"/>
    </row>
    <row r="207" spans="1:13" s="75" customFormat="1" ht="24.75" customHeight="1">
      <c r="A207" s="410"/>
      <c r="B207" s="402"/>
      <c r="C207" s="8" t="s">
        <v>44</v>
      </c>
      <c r="D207" s="4"/>
      <c r="E207" s="13"/>
      <c r="F207" s="12"/>
      <c r="G207" s="12">
        <f aca="true" t="shared" si="28" ref="G207:G221">H207+I207</f>
        <v>0</v>
      </c>
      <c r="H207" s="12"/>
      <c r="I207" s="12"/>
      <c r="J207" s="12">
        <f>105.997+1553.242+30.82212-90.152</f>
        <v>1599.90912</v>
      </c>
      <c r="K207" s="14">
        <v>0</v>
      </c>
      <c r="L207" s="395" t="s">
        <v>7</v>
      </c>
      <c r="M207" s="337"/>
    </row>
    <row r="208" spans="1:13" s="75" customFormat="1" ht="24.75" customHeight="1">
      <c r="A208" s="410"/>
      <c r="B208" s="402"/>
      <c r="C208" s="8" t="s">
        <v>112</v>
      </c>
      <c r="D208" s="4"/>
      <c r="E208" s="13"/>
      <c r="F208" s="12"/>
      <c r="G208" s="12">
        <f t="shared" si="28"/>
        <v>0</v>
      </c>
      <c r="H208" s="12"/>
      <c r="I208" s="12"/>
      <c r="J208" s="15">
        <f>2647.00046-137.31778-3.0355</f>
        <v>2506.6471800000004</v>
      </c>
      <c r="K208" s="14">
        <v>0</v>
      </c>
      <c r="L208" s="395"/>
      <c r="M208" s="337"/>
    </row>
    <row r="209" spans="1:13" s="75" customFormat="1" ht="24.75" customHeight="1">
      <c r="A209" s="410"/>
      <c r="B209" s="402"/>
      <c r="C209" s="8" t="s">
        <v>114</v>
      </c>
      <c r="D209" s="4"/>
      <c r="E209" s="13"/>
      <c r="F209" s="12"/>
      <c r="G209" s="12">
        <f t="shared" si="28"/>
        <v>0</v>
      </c>
      <c r="H209" s="12"/>
      <c r="I209" s="12"/>
      <c r="J209" s="12">
        <f>19000-4993.27603+73.22078+64.097-230.15863</f>
        <v>13913.883119999999</v>
      </c>
      <c r="K209" s="14">
        <v>0</v>
      </c>
      <c r="L209" s="395"/>
      <c r="M209" s="337"/>
    </row>
    <row r="210" spans="1:13" s="75" customFormat="1" ht="24.75" customHeight="1">
      <c r="A210" s="410"/>
      <c r="B210" s="402"/>
      <c r="C210" s="8" t="s">
        <v>45</v>
      </c>
      <c r="D210" s="4"/>
      <c r="E210" s="13"/>
      <c r="F210" s="12"/>
      <c r="G210" s="12">
        <f t="shared" si="28"/>
        <v>0</v>
      </c>
      <c r="H210" s="12"/>
      <c r="I210" s="12"/>
      <c r="J210" s="12">
        <f>620.082-142.882</f>
        <v>477.2</v>
      </c>
      <c r="K210" s="14">
        <v>0</v>
      </c>
      <c r="L210" s="395"/>
      <c r="M210" s="337"/>
    </row>
    <row r="211" spans="1:13" s="75" customFormat="1" ht="24.75" customHeight="1">
      <c r="A211" s="410"/>
      <c r="B211" s="402"/>
      <c r="C211" s="8" t="s">
        <v>46</v>
      </c>
      <c r="D211" s="4"/>
      <c r="E211" s="13"/>
      <c r="F211" s="12"/>
      <c r="G211" s="12">
        <f t="shared" si="28"/>
        <v>0</v>
      </c>
      <c r="H211" s="12"/>
      <c r="I211" s="12"/>
      <c r="J211" s="12">
        <f>4446.112-526.952+1537.10326-314.81263</f>
        <v>5141.450629999999</v>
      </c>
      <c r="K211" s="14">
        <v>0</v>
      </c>
      <c r="L211" s="395"/>
      <c r="M211" s="337"/>
    </row>
    <row r="212" spans="1:13" s="75" customFormat="1" ht="24.75" customHeight="1">
      <c r="A212" s="410"/>
      <c r="B212" s="402"/>
      <c r="C212" s="8" t="s">
        <v>47</v>
      </c>
      <c r="D212" s="4"/>
      <c r="E212" s="13"/>
      <c r="F212" s="12"/>
      <c r="G212" s="12">
        <f t="shared" si="28"/>
        <v>0</v>
      </c>
      <c r="H212" s="12"/>
      <c r="I212" s="12"/>
      <c r="J212" s="12">
        <f>115.226+847.899+0.168</f>
        <v>963.293</v>
      </c>
      <c r="K212" s="14">
        <v>0</v>
      </c>
      <c r="L212" s="395"/>
      <c r="M212" s="337"/>
    </row>
    <row r="213" spans="1:13" s="75" customFormat="1" ht="24.75" customHeight="1">
      <c r="A213" s="410"/>
      <c r="B213" s="402"/>
      <c r="C213" s="8" t="s">
        <v>44</v>
      </c>
      <c r="D213" s="4"/>
      <c r="E213" s="13"/>
      <c r="F213" s="12"/>
      <c r="G213" s="12">
        <f t="shared" si="28"/>
        <v>0</v>
      </c>
      <c r="H213" s="12"/>
      <c r="I213" s="12"/>
      <c r="J213" s="12">
        <f>357.7+36.69771</f>
        <v>394.39770999999996</v>
      </c>
      <c r="K213" s="14">
        <v>0</v>
      </c>
      <c r="L213" s="6" t="s">
        <v>44</v>
      </c>
      <c r="M213" s="337"/>
    </row>
    <row r="214" spans="1:13" s="75" customFormat="1" ht="24.75" customHeight="1">
      <c r="A214" s="410"/>
      <c r="B214" s="402"/>
      <c r="C214" s="8" t="s">
        <v>112</v>
      </c>
      <c r="D214" s="4"/>
      <c r="E214" s="13"/>
      <c r="F214" s="12"/>
      <c r="G214" s="12">
        <f t="shared" si="28"/>
        <v>0</v>
      </c>
      <c r="H214" s="12"/>
      <c r="I214" s="12"/>
      <c r="J214" s="12">
        <f>105.779+362.898-106.319</f>
        <v>362.358</v>
      </c>
      <c r="K214" s="14">
        <v>0</v>
      </c>
      <c r="L214" s="6" t="s">
        <v>112</v>
      </c>
      <c r="M214" s="337"/>
    </row>
    <row r="215" spans="1:13" s="75" customFormat="1" ht="24.75" customHeight="1">
      <c r="A215" s="410"/>
      <c r="B215" s="402"/>
      <c r="C215" s="8" t="s">
        <v>45</v>
      </c>
      <c r="D215" s="4"/>
      <c r="E215" s="13"/>
      <c r="F215" s="12"/>
      <c r="G215" s="12">
        <f t="shared" si="28"/>
        <v>0</v>
      </c>
      <c r="H215" s="12"/>
      <c r="I215" s="12"/>
      <c r="J215" s="12">
        <v>0</v>
      </c>
      <c r="K215" s="14">
        <v>0</v>
      </c>
      <c r="L215" s="5"/>
      <c r="M215" s="337"/>
    </row>
    <row r="216" spans="1:13" s="75" customFormat="1" ht="24.75" customHeight="1">
      <c r="A216" s="410"/>
      <c r="B216" s="402"/>
      <c r="C216" s="8" t="s">
        <v>46</v>
      </c>
      <c r="D216" s="4"/>
      <c r="E216" s="13"/>
      <c r="F216" s="12"/>
      <c r="G216" s="12">
        <f t="shared" si="28"/>
        <v>0</v>
      </c>
      <c r="H216" s="12"/>
      <c r="I216" s="12"/>
      <c r="J216" s="12">
        <f>196.448+30+275.818-26.184</f>
        <v>476.08199999999994</v>
      </c>
      <c r="K216" s="14">
        <v>0</v>
      </c>
      <c r="L216" s="5" t="s">
        <v>49</v>
      </c>
      <c r="M216" s="337"/>
    </row>
    <row r="217" spans="1:13" s="75" customFormat="1" ht="24.75" customHeight="1">
      <c r="A217" s="410"/>
      <c r="B217" s="402"/>
      <c r="C217" s="8" t="s">
        <v>47</v>
      </c>
      <c r="D217" s="4"/>
      <c r="E217" s="13"/>
      <c r="F217" s="12"/>
      <c r="G217" s="12">
        <f t="shared" si="28"/>
        <v>0</v>
      </c>
      <c r="H217" s="12"/>
      <c r="I217" s="12"/>
      <c r="J217" s="12">
        <f>624.103+100+900+26.6</f>
        <v>1650.703</v>
      </c>
      <c r="K217" s="14">
        <v>0</v>
      </c>
      <c r="L217" s="5" t="s">
        <v>50</v>
      </c>
      <c r="M217" s="337"/>
    </row>
    <row r="218" spans="1:13" s="75" customFormat="1" ht="24.75" customHeight="1">
      <c r="A218" s="410"/>
      <c r="B218" s="402"/>
      <c r="C218" s="8"/>
      <c r="D218" s="4"/>
      <c r="E218" s="13"/>
      <c r="F218" s="12"/>
      <c r="G218" s="12">
        <f>H218+I218</f>
        <v>0</v>
      </c>
      <c r="H218" s="12"/>
      <c r="I218" s="12"/>
      <c r="J218" s="12">
        <v>0</v>
      </c>
      <c r="K218" s="14">
        <v>0</v>
      </c>
      <c r="L218" s="5" t="s">
        <v>51</v>
      </c>
      <c r="M218" s="337"/>
    </row>
    <row r="219" spans="1:13" s="75" customFormat="1" ht="24.75" customHeight="1">
      <c r="A219" s="410"/>
      <c r="B219" s="402"/>
      <c r="C219" s="8" t="s">
        <v>48</v>
      </c>
      <c r="D219" s="4"/>
      <c r="E219" s="13"/>
      <c r="F219" s="12"/>
      <c r="G219" s="12">
        <f t="shared" si="28"/>
        <v>0</v>
      </c>
      <c r="H219" s="12"/>
      <c r="I219" s="12"/>
      <c r="J219" s="12">
        <f>491.117-443.682+838.97984-0.0006</f>
        <v>886.41424</v>
      </c>
      <c r="K219" s="14">
        <v>0</v>
      </c>
      <c r="L219" s="5" t="s">
        <v>51</v>
      </c>
      <c r="M219" s="337"/>
    </row>
    <row r="220" spans="1:13" s="75" customFormat="1" ht="24.75" customHeight="1">
      <c r="A220" s="410"/>
      <c r="B220" s="402"/>
      <c r="C220" s="8" t="s">
        <v>48</v>
      </c>
      <c r="D220" s="4"/>
      <c r="E220" s="13"/>
      <c r="F220" s="12"/>
      <c r="G220" s="12">
        <f t="shared" si="28"/>
        <v>0</v>
      </c>
      <c r="H220" s="12"/>
      <c r="I220" s="12"/>
      <c r="J220" s="51">
        <f>147.021+24</f>
        <v>171.021</v>
      </c>
      <c r="K220" s="14">
        <v>0</v>
      </c>
      <c r="L220" s="5" t="s">
        <v>116</v>
      </c>
      <c r="M220" s="337"/>
    </row>
    <row r="221" spans="1:13" s="75" customFormat="1" ht="24.75" customHeight="1" thickBot="1">
      <c r="A221" s="410"/>
      <c r="B221" s="402"/>
      <c r="C221" s="120"/>
      <c r="D221" s="122"/>
      <c r="E221" s="138"/>
      <c r="F221" s="139"/>
      <c r="G221" s="139">
        <f t="shared" si="28"/>
        <v>0</v>
      </c>
      <c r="H221" s="139"/>
      <c r="I221" s="139"/>
      <c r="J221" s="140">
        <v>0</v>
      </c>
      <c r="K221" s="141">
        <v>0</v>
      </c>
      <c r="L221" s="5"/>
      <c r="M221" s="337"/>
    </row>
    <row r="222" spans="1:13" s="75" customFormat="1" ht="24.75" customHeight="1" thickBot="1">
      <c r="A222" s="410"/>
      <c r="B222" s="412"/>
      <c r="C222" s="145"/>
      <c r="D222" s="146">
        <v>2019</v>
      </c>
      <c r="E222" s="147">
        <f>F222+G222+J222+K222</f>
        <v>25876.25605</v>
      </c>
      <c r="F222" s="147">
        <f aca="true" t="shared" si="29" ref="F222:K222">SUM(F223:F236)</f>
        <v>0</v>
      </c>
      <c r="G222" s="147">
        <f t="shared" si="29"/>
        <v>0</v>
      </c>
      <c r="H222" s="147">
        <f t="shared" si="29"/>
        <v>0</v>
      </c>
      <c r="I222" s="147">
        <f t="shared" si="29"/>
        <v>0</v>
      </c>
      <c r="J222" s="147">
        <f t="shared" si="29"/>
        <v>25876.25605</v>
      </c>
      <c r="K222" s="148">
        <f t="shared" si="29"/>
        <v>0</v>
      </c>
      <c r="L222" s="137" t="s">
        <v>7</v>
      </c>
      <c r="M222" s="337"/>
    </row>
    <row r="223" spans="1:13" s="75" customFormat="1" ht="24.75" customHeight="1">
      <c r="A223" s="410"/>
      <c r="B223" s="402"/>
      <c r="C223" s="121" t="s">
        <v>131</v>
      </c>
      <c r="D223" s="123"/>
      <c r="E223" s="142">
        <f aca="true" t="shared" si="30" ref="E223:E252">F223+G223+J223+K223</f>
        <v>1159.92432</v>
      </c>
      <c r="F223" s="142"/>
      <c r="G223" s="142">
        <f aca="true" t="shared" si="31" ref="G223:G252">H223+I223</f>
        <v>0</v>
      </c>
      <c r="H223" s="142"/>
      <c r="I223" s="143"/>
      <c r="J223" s="142">
        <f>1350-190.07568</f>
        <v>1159.92432</v>
      </c>
      <c r="K223" s="144">
        <v>0</v>
      </c>
      <c r="L223" s="70" t="s">
        <v>7</v>
      </c>
      <c r="M223" s="337"/>
    </row>
    <row r="224" spans="1:13" s="75" customFormat="1" ht="24.75" customHeight="1">
      <c r="A224" s="410"/>
      <c r="B224" s="402"/>
      <c r="C224" s="8" t="s">
        <v>132</v>
      </c>
      <c r="D224" s="4"/>
      <c r="E224" s="12">
        <f t="shared" si="30"/>
        <v>17673.222</v>
      </c>
      <c r="F224" s="12"/>
      <c r="G224" s="12">
        <f t="shared" si="31"/>
        <v>0</v>
      </c>
      <c r="H224" s="12"/>
      <c r="I224" s="13"/>
      <c r="J224" s="12">
        <f>17794.4248-121.2028</f>
        <v>17673.222</v>
      </c>
      <c r="K224" s="14"/>
      <c r="L224" s="70" t="s">
        <v>7</v>
      </c>
      <c r="M224" s="337"/>
    </row>
    <row r="225" spans="1:13" s="75" customFormat="1" ht="24.75" customHeight="1">
      <c r="A225" s="410"/>
      <c r="B225" s="402"/>
      <c r="C225" s="8" t="s">
        <v>133</v>
      </c>
      <c r="D225" s="4"/>
      <c r="E225" s="12">
        <f t="shared" si="30"/>
        <v>0</v>
      </c>
      <c r="F225" s="12"/>
      <c r="G225" s="12">
        <f t="shared" si="31"/>
        <v>0</v>
      </c>
      <c r="H225" s="12"/>
      <c r="I225" s="13"/>
      <c r="J225" s="12">
        <f>500-159.431-340.569</f>
        <v>0</v>
      </c>
      <c r="K225" s="14"/>
      <c r="L225" s="70" t="s">
        <v>7</v>
      </c>
      <c r="M225" s="337"/>
    </row>
    <row r="226" spans="1:13" s="75" customFormat="1" ht="24.75" customHeight="1">
      <c r="A226" s="410"/>
      <c r="B226" s="402"/>
      <c r="C226" s="8" t="s">
        <v>111</v>
      </c>
      <c r="D226" s="4"/>
      <c r="E226" s="12">
        <f t="shared" si="30"/>
        <v>2109.1145</v>
      </c>
      <c r="F226" s="12"/>
      <c r="G226" s="12">
        <f t="shared" si="31"/>
        <v>0</v>
      </c>
      <c r="H226" s="12"/>
      <c r="I226" s="12">
        <v>0</v>
      </c>
      <c r="J226" s="12">
        <f>1797.73863+313.37887-2.003</f>
        <v>2109.1145</v>
      </c>
      <c r="K226" s="14"/>
      <c r="L226" s="70" t="s">
        <v>7</v>
      </c>
      <c r="M226" s="337"/>
    </row>
    <row r="227" spans="1:13" s="75" customFormat="1" ht="24.75" customHeight="1">
      <c r="A227" s="410"/>
      <c r="B227" s="402"/>
      <c r="C227" s="8" t="s">
        <v>111</v>
      </c>
      <c r="D227" s="4"/>
      <c r="E227" s="12">
        <f t="shared" si="30"/>
        <v>0</v>
      </c>
      <c r="F227" s="12"/>
      <c r="G227" s="12">
        <f t="shared" si="31"/>
        <v>0</v>
      </c>
      <c r="H227" s="12"/>
      <c r="I227" s="12"/>
      <c r="J227" s="12">
        <v>0</v>
      </c>
      <c r="K227" s="14"/>
      <c r="L227" s="70" t="s">
        <v>210</v>
      </c>
      <c r="M227" s="337"/>
    </row>
    <row r="228" spans="1:13" s="75" customFormat="1" ht="24.75" customHeight="1">
      <c r="A228" s="410"/>
      <c r="B228" s="402"/>
      <c r="C228" s="8" t="s">
        <v>50</v>
      </c>
      <c r="D228" s="4"/>
      <c r="E228" s="12">
        <f t="shared" si="30"/>
        <v>1830.5851200000002</v>
      </c>
      <c r="F228" s="12"/>
      <c r="G228" s="12">
        <f t="shared" si="31"/>
        <v>0</v>
      </c>
      <c r="H228" s="12"/>
      <c r="I228" s="13"/>
      <c r="J228" s="12">
        <f>1841.35064-10.76552</f>
        <v>1830.5851200000002</v>
      </c>
      <c r="K228" s="14"/>
      <c r="L228" s="70" t="s">
        <v>7</v>
      </c>
      <c r="M228" s="337"/>
    </row>
    <row r="229" spans="1:13" s="75" customFormat="1" ht="24.75" customHeight="1">
      <c r="A229" s="410"/>
      <c r="B229" s="402"/>
      <c r="C229" s="8" t="s">
        <v>211</v>
      </c>
      <c r="D229" s="4"/>
      <c r="E229" s="12">
        <f t="shared" si="30"/>
        <v>0</v>
      </c>
      <c r="F229" s="12"/>
      <c r="G229" s="12">
        <f t="shared" si="31"/>
        <v>0</v>
      </c>
      <c r="H229" s="12"/>
      <c r="I229" s="13"/>
      <c r="J229" s="12">
        <v>0</v>
      </c>
      <c r="K229" s="14"/>
      <c r="L229" s="70" t="s">
        <v>7</v>
      </c>
      <c r="M229" s="337"/>
    </row>
    <row r="230" spans="1:13" s="75" customFormat="1" ht="24.75" customHeight="1">
      <c r="A230" s="410"/>
      <c r="B230" s="402"/>
      <c r="C230" s="8" t="s">
        <v>131</v>
      </c>
      <c r="D230" s="4"/>
      <c r="E230" s="12">
        <f t="shared" si="30"/>
        <v>200</v>
      </c>
      <c r="F230" s="12"/>
      <c r="G230" s="12">
        <f t="shared" si="31"/>
        <v>0</v>
      </c>
      <c r="H230" s="12"/>
      <c r="I230" s="13"/>
      <c r="J230" s="12">
        <v>200</v>
      </c>
      <c r="K230" s="14"/>
      <c r="L230" s="70" t="s">
        <v>131</v>
      </c>
      <c r="M230" s="337"/>
    </row>
    <row r="231" spans="1:13" s="75" customFormat="1" ht="24.75" customHeight="1">
      <c r="A231" s="410"/>
      <c r="B231" s="402"/>
      <c r="C231" s="8" t="s">
        <v>132</v>
      </c>
      <c r="D231" s="4"/>
      <c r="E231" s="12">
        <f>F231+G231+J231+K231</f>
        <v>262.6042</v>
      </c>
      <c r="F231" s="12"/>
      <c r="G231" s="12">
        <f>H231+I231</f>
        <v>0</v>
      </c>
      <c r="H231" s="12"/>
      <c r="I231" s="13"/>
      <c r="J231" s="12">
        <f>340.773-78.1688</f>
        <v>262.6042</v>
      </c>
      <c r="K231" s="14"/>
      <c r="L231" s="70" t="s">
        <v>132</v>
      </c>
      <c r="M231" s="337"/>
    </row>
    <row r="232" spans="1:13" s="75" customFormat="1" ht="24.75" customHeight="1">
      <c r="A232" s="410"/>
      <c r="B232" s="402"/>
      <c r="C232" s="8" t="s">
        <v>133</v>
      </c>
      <c r="D232" s="4"/>
      <c r="E232" s="12">
        <f t="shared" si="30"/>
        <v>277.714</v>
      </c>
      <c r="F232" s="12"/>
      <c r="G232" s="12">
        <f t="shared" si="31"/>
        <v>0</v>
      </c>
      <c r="H232" s="12"/>
      <c r="I232" s="13"/>
      <c r="J232" s="12">
        <f>159.431+118.283</f>
        <v>277.714</v>
      </c>
      <c r="K232" s="14"/>
      <c r="L232" s="70" t="s">
        <v>133</v>
      </c>
      <c r="M232" s="337"/>
    </row>
    <row r="233" spans="1:13" s="75" customFormat="1" ht="24.75" customHeight="1">
      <c r="A233" s="410"/>
      <c r="B233" s="402"/>
      <c r="C233" s="8" t="s">
        <v>111</v>
      </c>
      <c r="D233" s="4"/>
      <c r="E233" s="12">
        <f t="shared" si="30"/>
        <v>1940.84825</v>
      </c>
      <c r="F233" s="12"/>
      <c r="G233" s="12">
        <f t="shared" si="31"/>
        <v>0</v>
      </c>
      <c r="H233" s="12"/>
      <c r="I233" s="13"/>
      <c r="J233" s="12">
        <f>2430.61771-489.76946</f>
        <v>1940.84825</v>
      </c>
      <c r="K233" s="14"/>
      <c r="L233" s="70" t="s">
        <v>156</v>
      </c>
      <c r="M233" s="337"/>
    </row>
    <row r="234" spans="1:13" s="75" customFormat="1" ht="24.75" customHeight="1">
      <c r="A234" s="410"/>
      <c r="B234" s="402"/>
      <c r="C234" s="8" t="s">
        <v>50</v>
      </c>
      <c r="D234" s="4"/>
      <c r="E234" s="12">
        <f t="shared" si="30"/>
        <v>422.24366</v>
      </c>
      <c r="F234" s="12"/>
      <c r="G234" s="12">
        <f t="shared" si="31"/>
        <v>0</v>
      </c>
      <c r="H234" s="12"/>
      <c r="I234" s="13"/>
      <c r="J234" s="12">
        <f>301.36966+120.874</f>
        <v>422.24366</v>
      </c>
      <c r="K234" s="14"/>
      <c r="L234" s="70" t="s">
        <v>155</v>
      </c>
      <c r="M234" s="337"/>
    </row>
    <row r="235" spans="1:13" s="75" customFormat="1" ht="24.75" customHeight="1">
      <c r="A235" s="410"/>
      <c r="B235" s="402"/>
      <c r="C235" s="8"/>
      <c r="D235" s="4"/>
      <c r="E235" s="12">
        <f t="shared" si="30"/>
        <v>0</v>
      </c>
      <c r="F235" s="12"/>
      <c r="G235" s="12">
        <f t="shared" si="31"/>
        <v>0</v>
      </c>
      <c r="H235" s="12"/>
      <c r="I235" s="13"/>
      <c r="J235" s="12">
        <v>0</v>
      </c>
      <c r="K235" s="14"/>
      <c r="L235" s="70"/>
      <c r="M235" s="337"/>
    </row>
    <row r="236" spans="1:13" s="75" customFormat="1" ht="24.75" customHeight="1" thickBot="1">
      <c r="A236" s="410"/>
      <c r="B236" s="403"/>
      <c r="C236" s="8"/>
      <c r="D236" s="122"/>
      <c r="E236" s="139">
        <f t="shared" si="30"/>
        <v>0</v>
      </c>
      <c r="F236" s="139"/>
      <c r="G236" s="139">
        <f t="shared" si="31"/>
        <v>0</v>
      </c>
      <c r="H236" s="139"/>
      <c r="I236" s="138"/>
      <c r="J236" s="139">
        <v>0</v>
      </c>
      <c r="K236" s="141"/>
      <c r="L236" s="70"/>
      <c r="M236" s="337"/>
    </row>
    <row r="237" spans="1:13" s="75" customFormat="1" ht="30" customHeight="1" thickBot="1">
      <c r="A237" s="410"/>
      <c r="B237" s="281" t="s">
        <v>151</v>
      </c>
      <c r="C237" s="149"/>
      <c r="D237" s="151">
        <v>2020</v>
      </c>
      <c r="E237" s="147">
        <f aca="true" t="shared" si="32" ref="E237:J237">SUM(E238:E246)</f>
        <v>16209.86028</v>
      </c>
      <c r="F237" s="147">
        <f t="shared" si="32"/>
        <v>0</v>
      </c>
      <c r="G237" s="147">
        <f t="shared" si="32"/>
        <v>0</v>
      </c>
      <c r="H237" s="147">
        <f t="shared" si="32"/>
        <v>0</v>
      </c>
      <c r="I237" s="147">
        <f t="shared" si="32"/>
        <v>0</v>
      </c>
      <c r="J237" s="147">
        <f t="shared" si="32"/>
        <v>16209.86028</v>
      </c>
      <c r="K237" s="147">
        <f>SUM(K238:K245)</f>
        <v>0</v>
      </c>
      <c r="L237" s="150"/>
      <c r="M237" s="337"/>
    </row>
    <row r="238" spans="1:13" s="75" customFormat="1" ht="30" customHeight="1">
      <c r="A238" s="410"/>
      <c r="B238" s="282"/>
      <c r="C238" s="8" t="s">
        <v>132</v>
      </c>
      <c r="D238" s="124"/>
      <c r="E238" s="152">
        <f t="shared" si="30"/>
        <v>7193.6005000000005</v>
      </c>
      <c r="F238" s="152"/>
      <c r="G238" s="152">
        <f aca="true" t="shared" si="33" ref="G238:G246">H238+I238</f>
        <v>0</v>
      </c>
      <c r="H238" s="152"/>
      <c r="I238" s="153"/>
      <c r="J238" s="152">
        <f>11000-3806.3995</f>
        <v>7193.6005000000005</v>
      </c>
      <c r="K238" s="154"/>
      <c r="L238" s="70" t="s">
        <v>7</v>
      </c>
      <c r="M238" s="337"/>
    </row>
    <row r="239" spans="1:13" s="75" customFormat="1" ht="30" customHeight="1">
      <c r="A239" s="410"/>
      <c r="B239" s="282"/>
      <c r="C239" s="149" t="s">
        <v>111</v>
      </c>
      <c r="D239" s="4"/>
      <c r="E239" s="12">
        <f t="shared" si="30"/>
        <v>3174.7489</v>
      </c>
      <c r="F239" s="12"/>
      <c r="G239" s="12">
        <f t="shared" si="33"/>
        <v>0</v>
      </c>
      <c r="H239" s="12"/>
      <c r="I239" s="13"/>
      <c r="J239" s="12">
        <f>7142.742-3660.764-307.2291</f>
        <v>3174.7489</v>
      </c>
      <c r="K239" s="14"/>
      <c r="L239" s="150" t="s">
        <v>260</v>
      </c>
      <c r="M239" s="337"/>
    </row>
    <row r="240" spans="1:13" s="75" customFormat="1" ht="30" customHeight="1">
      <c r="A240" s="410"/>
      <c r="B240" s="282"/>
      <c r="C240" s="149" t="s">
        <v>48</v>
      </c>
      <c r="D240" s="4"/>
      <c r="E240" s="12">
        <f t="shared" si="30"/>
        <v>1601.9008800000001</v>
      </c>
      <c r="F240" s="12"/>
      <c r="G240" s="12">
        <f t="shared" si="33"/>
        <v>0</v>
      </c>
      <c r="H240" s="12"/>
      <c r="I240" s="13"/>
      <c r="J240" s="12">
        <f>2400-794.205-3.89412</f>
        <v>1601.9008800000001</v>
      </c>
      <c r="K240" s="14"/>
      <c r="L240" s="150" t="s">
        <v>260</v>
      </c>
      <c r="M240" s="337"/>
    </row>
    <row r="241" spans="1:13" s="75" customFormat="1" ht="30" customHeight="1">
      <c r="A241" s="410"/>
      <c r="B241" s="282"/>
      <c r="C241" s="149" t="s">
        <v>50</v>
      </c>
      <c r="D241" s="122"/>
      <c r="E241" s="12">
        <f t="shared" si="30"/>
        <v>1065.624</v>
      </c>
      <c r="F241" s="139"/>
      <c r="G241" s="12">
        <f t="shared" si="33"/>
        <v>0</v>
      </c>
      <c r="H241" s="139"/>
      <c r="I241" s="138"/>
      <c r="J241" s="139">
        <v>1065.624</v>
      </c>
      <c r="K241" s="141"/>
      <c r="L241" s="150" t="s">
        <v>51</v>
      </c>
      <c r="M241" s="337"/>
    </row>
    <row r="242" spans="1:13" s="75" customFormat="1" ht="30" customHeight="1">
      <c r="A242" s="410"/>
      <c r="B242" s="282"/>
      <c r="C242" s="149" t="s">
        <v>111</v>
      </c>
      <c r="D242" s="122"/>
      <c r="E242" s="12">
        <f t="shared" si="30"/>
        <v>100</v>
      </c>
      <c r="F242" s="139"/>
      <c r="G242" s="12">
        <f t="shared" si="33"/>
        <v>0</v>
      </c>
      <c r="H242" s="139"/>
      <c r="I242" s="138"/>
      <c r="J242" s="139">
        <v>100</v>
      </c>
      <c r="K242" s="141"/>
      <c r="L242" s="150" t="s">
        <v>111</v>
      </c>
      <c r="M242" s="337"/>
    </row>
    <row r="243" spans="1:13" s="75" customFormat="1" ht="30" customHeight="1">
      <c r="A243" s="410"/>
      <c r="B243" s="282"/>
      <c r="C243" s="149" t="s">
        <v>50</v>
      </c>
      <c r="D243" s="122"/>
      <c r="E243" s="12">
        <f t="shared" si="30"/>
        <v>2169.525</v>
      </c>
      <c r="F243" s="139"/>
      <c r="G243" s="12">
        <f t="shared" si="33"/>
        <v>0</v>
      </c>
      <c r="H243" s="139"/>
      <c r="I243" s="138"/>
      <c r="J243" s="139">
        <f>1699.525+470</f>
        <v>2169.525</v>
      </c>
      <c r="K243" s="141"/>
      <c r="L243" s="150" t="s">
        <v>50</v>
      </c>
      <c r="M243" s="337"/>
    </row>
    <row r="244" spans="1:13" s="75" customFormat="1" ht="30" customHeight="1">
      <c r="A244" s="410"/>
      <c r="B244" s="282"/>
      <c r="C244" s="149" t="s">
        <v>131</v>
      </c>
      <c r="D244" s="122"/>
      <c r="E244" s="12">
        <f t="shared" si="30"/>
        <v>342.134</v>
      </c>
      <c r="F244" s="139"/>
      <c r="G244" s="12">
        <f t="shared" si="33"/>
        <v>0</v>
      </c>
      <c r="H244" s="139"/>
      <c r="I244" s="138"/>
      <c r="J244" s="139">
        <v>342.134</v>
      </c>
      <c r="K244" s="141"/>
      <c r="L244" s="150" t="s">
        <v>131</v>
      </c>
      <c r="M244" s="337"/>
    </row>
    <row r="245" spans="1:13" s="75" customFormat="1" ht="30" customHeight="1">
      <c r="A245" s="410"/>
      <c r="B245" s="282"/>
      <c r="C245" s="276" t="s">
        <v>132</v>
      </c>
      <c r="D245" s="122"/>
      <c r="E245" s="139">
        <f t="shared" si="30"/>
        <v>66.985</v>
      </c>
      <c r="F245" s="139"/>
      <c r="G245" s="139">
        <f t="shared" si="33"/>
        <v>0</v>
      </c>
      <c r="H245" s="139"/>
      <c r="I245" s="138"/>
      <c r="J245" s="139">
        <v>66.985</v>
      </c>
      <c r="K245" s="141"/>
      <c r="L245" s="277" t="s">
        <v>132</v>
      </c>
      <c r="M245" s="337"/>
    </row>
    <row r="246" spans="1:13" s="75" customFormat="1" ht="30" customHeight="1" thickBot="1">
      <c r="A246" s="410"/>
      <c r="B246" s="283"/>
      <c r="C246" s="120" t="s">
        <v>48</v>
      </c>
      <c r="D246" s="122"/>
      <c r="E246" s="139">
        <f t="shared" si="30"/>
        <v>495.342</v>
      </c>
      <c r="F246" s="139"/>
      <c r="G246" s="139">
        <f t="shared" si="33"/>
        <v>0</v>
      </c>
      <c r="H246" s="139"/>
      <c r="I246" s="138"/>
      <c r="J246" s="139">
        <v>495.342</v>
      </c>
      <c r="K246" s="141"/>
      <c r="L246" s="120" t="s">
        <v>48</v>
      </c>
      <c r="M246" s="337"/>
    </row>
    <row r="247" spans="1:13" s="75" customFormat="1" ht="24.75" customHeight="1" thickBot="1">
      <c r="A247" s="410"/>
      <c r="B247" s="413" t="s">
        <v>151</v>
      </c>
      <c r="C247" s="279"/>
      <c r="D247" s="151">
        <v>2021</v>
      </c>
      <c r="E247" s="147">
        <f aca="true" t="shared" si="34" ref="E247:K247">E248</f>
        <v>22888.568</v>
      </c>
      <c r="F247" s="147">
        <f t="shared" si="34"/>
        <v>0</v>
      </c>
      <c r="G247" s="147">
        <f t="shared" si="34"/>
        <v>0</v>
      </c>
      <c r="H247" s="147">
        <f t="shared" si="34"/>
        <v>0</v>
      </c>
      <c r="I247" s="147">
        <f t="shared" si="34"/>
        <v>0</v>
      </c>
      <c r="J247" s="147">
        <f t="shared" si="34"/>
        <v>22888.568</v>
      </c>
      <c r="K247" s="148">
        <f t="shared" si="34"/>
        <v>0</v>
      </c>
      <c r="L247" s="278"/>
      <c r="M247" s="337"/>
    </row>
    <row r="248" spans="1:13" s="75" customFormat="1" ht="29.25" customHeight="1" thickBot="1">
      <c r="A248" s="410"/>
      <c r="B248" s="403"/>
      <c r="C248" s="121" t="s">
        <v>132</v>
      </c>
      <c r="D248" s="124"/>
      <c r="E248" s="152">
        <f t="shared" si="30"/>
        <v>22888.568</v>
      </c>
      <c r="F248" s="152"/>
      <c r="G248" s="152"/>
      <c r="H248" s="152"/>
      <c r="I248" s="153"/>
      <c r="J248" s="152">
        <v>22888.568</v>
      </c>
      <c r="K248" s="154"/>
      <c r="L248" s="70" t="s">
        <v>7</v>
      </c>
      <c r="M248" s="337"/>
    </row>
    <row r="249" spans="1:13" s="75" customFormat="1" ht="33" customHeight="1" thickBot="1">
      <c r="A249" s="410"/>
      <c r="B249" s="401" t="s">
        <v>151</v>
      </c>
      <c r="C249" s="149"/>
      <c r="D249" s="151">
        <v>2022</v>
      </c>
      <c r="E249" s="147">
        <f aca="true" t="shared" si="35" ref="E249:K249">E250</f>
        <v>20972.961</v>
      </c>
      <c r="F249" s="147">
        <f t="shared" si="35"/>
        <v>0</v>
      </c>
      <c r="G249" s="147">
        <f t="shared" si="35"/>
        <v>0</v>
      </c>
      <c r="H249" s="147">
        <f t="shared" si="35"/>
        <v>0</v>
      </c>
      <c r="I249" s="147">
        <f t="shared" si="35"/>
        <v>0</v>
      </c>
      <c r="J249" s="147">
        <f t="shared" si="35"/>
        <v>20972.961</v>
      </c>
      <c r="K249" s="148">
        <f t="shared" si="35"/>
        <v>0</v>
      </c>
      <c r="L249" s="150"/>
      <c r="M249" s="337"/>
    </row>
    <row r="250" spans="1:13" s="75" customFormat="1" ht="24.75" customHeight="1">
      <c r="A250" s="410"/>
      <c r="B250" s="403"/>
      <c r="C250" s="8" t="s">
        <v>132</v>
      </c>
      <c r="D250" s="123"/>
      <c r="E250" s="142">
        <f t="shared" si="30"/>
        <v>20972.961</v>
      </c>
      <c r="F250" s="142"/>
      <c r="G250" s="142"/>
      <c r="H250" s="142"/>
      <c r="I250" s="143"/>
      <c r="J250" s="142">
        <v>20972.961</v>
      </c>
      <c r="K250" s="144"/>
      <c r="L250" s="70" t="s">
        <v>7</v>
      </c>
      <c r="M250" s="337"/>
    </row>
    <row r="251" spans="1:13" s="75" customFormat="1" ht="24.75" customHeight="1">
      <c r="A251" s="410"/>
      <c r="B251" s="71"/>
      <c r="C251" s="8" t="s">
        <v>116</v>
      </c>
      <c r="D251" s="4">
        <v>2019</v>
      </c>
      <c r="E251" s="12">
        <f t="shared" si="30"/>
        <v>0</v>
      </c>
      <c r="F251" s="12"/>
      <c r="G251" s="12">
        <f t="shared" si="31"/>
        <v>0</v>
      </c>
      <c r="H251" s="12"/>
      <c r="I251" s="12"/>
      <c r="J251" s="13">
        <v>0</v>
      </c>
      <c r="K251" s="14"/>
      <c r="L251" s="74" t="s">
        <v>165</v>
      </c>
      <c r="M251" s="337"/>
    </row>
    <row r="252" spans="1:13" s="75" customFormat="1" ht="24.75" customHeight="1">
      <c r="A252" s="410"/>
      <c r="B252" s="392" t="s">
        <v>151</v>
      </c>
      <c r="C252" s="8"/>
      <c r="D252" s="4"/>
      <c r="E252" s="12">
        <f t="shared" si="30"/>
        <v>0</v>
      </c>
      <c r="F252" s="12"/>
      <c r="G252" s="12">
        <f t="shared" si="31"/>
        <v>0</v>
      </c>
      <c r="H252" s="12"/>
      <c r="I252" s="13"/>
      <c r="J252" s="12">
        <v>0</v>
      </c>
      <c r="K252" s="14"/>
      <c r="L252" s="70"/>
      <c r="M252" s="337"/>
    </row>
    <row r="253" spans="1:13" s="75" customFormat="1" ht="24.75" customHeight="1">
      <c r="A253" s="410"/>
      <c r="B253" s="414"/>
      <c r="C253" s="8" t="s">
        <v>154</v>
      </c>
      <c r="D253" s="4">
        <v>2020</v>
      </c>
      <c r="E253" s="13">
        <f>F253+G253+J253+K253</f>
        <v>0</v>
      </c>
      <c r="F253" s="12"/>
      <c r="G253" s="12">
        <f>H253+I253</f>
        <v>0</v>
      </c>
      <c r="H253" s="12"/>
      <c r="I253" s="13"/>
      <c r="J253" s="13">
        <v>0</v>
      </c>
      <c r="K253" s="14">
        <v>0</v>
      </c>
      <c r="L253" s="5" t="s">
        <v>7</v>
      </c>
      <c r="M253" s="337"/>
    </row>
    <row r="254" spans="1:13" s="75" customFormat="1" ht="24.75" customHeight="1">
      <c r="A254" s="410"/>
      <c r="B254" s="414"/>
      <c r="C254" s="8"/>
      <c r="D254" s="4">
        <v>2021</v>
      </c>
      <c r="E254" s="13">
        <f>F254+G254+J254+K254</f>
        <v>0</v>
      </c>
      <c r="F254" s="12"/>
      <c r="G254" s="12">
        <f>H254+I254</f>
        <v>0</v>
      </c>
      <c r="H254" s="12"/>
      <c r="I254" s="13"/>
      <c r="J254" s="13">
        <v>0</v>
      </c>
      <c r="K254" s="14">
        <v>0</v>
      </c>
      <c r="L254" s="5" t="s">
        <v>7</v>
      </c>
      <c r="M254" s="337"/>
    </row>
    <row r="255" spans="1:13" s="75" customFormat="1" ht="24.75" customHeight="1">
      <c r="A255" s="411"/>
      <c r="B255" s="415"/>
      <c r="C255" s="8"/>
      <c r="D255" s="4">
        <v>2022</v>
      </c>
      <c r="E255" s="13">
        <f aca="true" t="shared" si="36" ref="E255:E270">F255+G255+J255+K255</f>
        <v>0</v>
      </c>
      <c r="F255" s="12"/>
      <c r="G255" s="12">
        <f>H255+I255</f>
        <v>0</v>
      </c>
      <c r="H255" s="12"/>
      <c r="I255" s="13"/>
      <c r="J255" s="13">
        <v>0</v>
      </c>
      <c r="K255" s="14">
        <v>0</v>
      </c>
      <c r="L255" s="5" t="s">
        <v>7</v>
      </c>
      <c r="M255" s="337"/>
    </row>
    <row r="256" spans="1:13" s="75" customFormat="1" ht="24.75" customHeight="1">
      <c r="A256" s="300" t="s">
        <v>87</v>
      </c>
      <c r="B256" s="337" t="s">
        <v>137</v>
      </c>
      <c r="C256" s="8" t="s">
        <v>112</v>
      </c>
      <c r="D256" s="405">
        <v>2017</v>
      </c>
      <c r="E256" s="13">
        <f t="shared" si="36"/>
        <v>6400.301</v>
      </c>
      <c r="F256" s="12"/>
      <c r="G256" s="12">
        <f aca="true" t="shared" si="37" ref="G256:G262">H256+I256</f>
        <v>0</v>
      </c>
      <c r="H256" s="12"/>
      <c r="I256" s="13"/>
      <c r="J256" s="13">
        <v>6400.301</v>
      </c>
      <c r="K256" s="14">
        <v>0</v>
      </c>
      <c r="L256" s="5" t="s">
        <v>7</v>
      </c>
      <c r="M256" s="337"/>
    </row>
    <row r="257" spans="1:13" s="75" customFormat="1" ht="24.75" customHeight="1">
      <c r="A257" s="300"/>
      <c r="B257" s="337"/>
      <c r="C257" s="8" t="s">
        <v>45</v>
      </c>
      <c r="D257" s="405"/>
      <c r="E257" s="13">
        <f t="shared" si="36"/>
        <v>1458.533</v>
      </c>
      <c r="F257" s="12"/>
      <c r="G257" s="12">
        <f t="shared" si="37"/>
        <v>0</v>
      </c>
      <c r="H257" s="12"/>
      <c r="I257" s="13"/>
      <c r="J257" s="13">
        <v>1458.533</v>
      </c>
      <c r="K257" s="14">
        <v>0</v>
      </c>
      <c r="L257" s="5" t="s">
        <v>3</v>
      </c>
      <c r="M257" s="337"/>
    </row>
    <row r="258" spans="1:13" s="75" customFormat="1" ht="24.75" customHeight="1">
      <c r="A258" s="300" t="s">
        <v>88</v>
      </c>
      <c r="B258" s="337" t="s">
        <v>138</v>
      </c>
      <c r="C258" s="8" t="s">
        <v>46</v>
      </c>
      <c r="D258" s="361">
        <v>2017</v>
      </c>
      <c r="E258" s="13">
        <f t="shared" si="36"/>
        <v>2177.928</v>
      </c>
      <c r="F258" s="12"/>
      <c r="G258" s="17">
        <f t="shared" si="37"/>
        <v>0</v>
      </c>
      <c r="H258" s="17"/>
      <c r="I258" s="18"/>
      <c r="J258" s="18">
        <v>2177.928</v>
      </c>
      <c r="K258" s="19">
        <v>0</v>
      </c>
      <c r="L258" s="5" t="s">
        <v>7</v>
      </c>
      <c r="M258" s="337"/>
    </row>
    <row r="259" spans="1:13" s="75" customFormat="1" ht="36" customHeight="1">
      <c r="A259" s="300"/>
      <c r="B259" s="337"/>
      <c r="C259" s="8" t="s">
        <v>47</v>
      </c>
      <c r="D259" s="361"/>
      <c r="E259" s="13">
        <f t="shared" si="36"/>
        <v>431.162</v>
      </c>
      <c r="F259" s="12"/>
      <c r="G259" s="17">
        <f t="shared" si="37"/>
        <v>0</v>
      </c>
      <c r="H259" s="17"/>
      <c r="I259" s="18"/>
      <c r="J259" s="18">
        <v>431.162</v>
      </c>
      <c r="K259" s="19">
        <v>0</v>
      </c>
      <c r="L259" s="5" t="s">
        <v>3</v>
      </c>
      <c r="M259" s="337"/>
    </row>
    <row r="260" spans="1:13" s="75" customFormat="1" ht="24.75" customHeight="1">
      <c r="A260" s="300" t="s">
        <v>150</v>
      </c>
      <c r="B260" s="337" t="s">
        <v>89</v>
      </c>
      <c r="C260" s="8"/>
      <c r="D260" s="361">
        <v>2017</v>
      </c>
      <c r="E260" s="13">
        <f t="shared" si="36"/>
        <v>4135.29</v>
      </c>
      <c r="F260" s="12"/>
      <c r="G260" s="17">
        <f t="shared" si="37"/>
        <v>0</v>
      </c>
      <c r="H260" s="17"/>
      <c r="I260" s="18"/>
      <c r="J260" s="18">
        <v>4135.29</v>
      </c>
      <c r="K260" s="19">
        <v>0</v>
      </c>
      <c r="L260" s="395" t="s">
        <v>7</v>
      </c>
      <c r="M260" s="337"/>
    </row>
    <row r="261" spans="1:13" s="75" customFormat="1" ht="24.75" customHeight="1">
      <c r="A261" s="300"/>
      <c r="B261" s="337"/>
      <c r="C261" s="8" t="s">
        <v>154</v>
      </c>
      <c r="D261" s="361"/>
      <c r="E261" s="13">
        <f t="shared" si="36"/>
        <v>10933.428</v>
      </c>
      <c r="F261" s="12"/>
      <c r="G261" s="17">
        <f t="shared" si="37"/>
        <v>0</v>
      </c>
      <c r="H261" s="17"/>
      <c r="I261" s="18"/>
      <c r="J261" s="18">
        <v>10933.428</v>
      </c>
      <c r="K261" s="19">
        <v>0</v>
      </c>
      <c r="L261" s="395"/>
      <c r="M261" s="337"/>
    </row>
    <row r="262" spans="1:13" s="75" customFormat="1" ht="31.5" customHeight="1" thickBot="1">
      <c r="A262" s="300"/>
      <c r="B262" s="337"/>
      <c r="C262" s="8" t="s">
        <v>154</v>
      </c>
      <c r="D262" s="406"/>
      <c r="E262" s="138">
        <f t="shared" si="36"/>
        <v>897.642</v>
      </c>
      <c r="F262" s="139"/>
      <c r="G262" s="157">
        <f t="shared" si="37"/>
        <v>0</v>
      </c>
      <c r="H262" s="157"/>
      <c r="I262" s="158"/>
      <c r="J262" s="158">
        <v>897.642</v>
      </c>
      <c r="K262" s="159">
        <v>0</v>
      </c>
      <c r="L262" s="5" t="s">
        <v>3</v>
      </c>
      <c r="M262" s="337"/>
    </row>
    <row r="263" spans="1:13" s="75" customFormat="1" ht="24.75" customHeight="1" thickBot="1">
      <c r="A263" s="396" t="s">
        <v>106</v>
      </c>
      <c r="B263" s="281" t="s">
        <v>107</v>
      </c>
      <c r="C263" s="155"/>
      <c r="D263" s="165">
        <v>2018</v>
      </c>
      <c r="E263" s="147">
        <f>F263+J263+K263</f>
        <v>1130.874</v>
      </c>
      <c r="F263" s="166">
        <f aca="true" t="shared" si="38" ref="F263:K263">SUM(F264:F270)</f>
        <v>0</v>
      </c>
      <c r="G263" s="166">
        <f t="shared" si="38"/>
        <v>0</v>
      </c>
      <c r="H263" s="166">
        <f t="shared" si="38"/>
        <v>0</v>
      </c>
      <c r="I263" s="166">
        <f t="shared" si="38"/>
        <v>0</v>
      </c>
      <c r="J263" s="166">
        <f t="shared" si="38"/>
        <v>1130.874</v>
      </c>
      <c r="K263" s="167">
        <f t="shared" si="38"/>
        <v>0</v>
      </c>
      <c r="L263" s="156"/>
      <c r="M263" s="401" t="s">
        <v>113</v>
      </c>
    </row>
    <row r="264" spans="1:13" s="75" customFormat="1" ht="24.75" customHeight="1">
      <c r="A264" s="397"/>
      <c r="B264" s="282"/>
      <c r="C264" s="49"/>
      <c r="D264" s="160"/>
      <c r="E264" s="142">
        <f>F264+G264+J264+K264</f>
        <v>0</v>
      </c>
      <c r="F264" s="161"/>
      <c r="G264" s="162">
        <f aca="true" t="shared" si="39" ref="G264:G270">H264+I264</f>
        <v>0</v>
      </c>
      <c r="H264" s="163"/>
      <c r="I264" s="162">
        <v>0</v>
      </c>
      <c r="J264" s="162">
        <v>0</v>
      </c>
      <c r="K264" s="164"/>
      <c r="L264" s="55"/>
      <c r="M264" s="402"/>
    </row>
    <row r="265" spans="1:13" s="75" customFormat="1" ht="24.75" customHeight="1">
      <c r="A265" s="397"/>
      <c r="B265" s="282"/>
      <c r="C265" s="49" t="s">
        <v>108</v>
      </c>
      <c r="D265" s="7"/>
      <c r="E265" s="12">
        <f t="shared" si="36"/>
        <v>32.401</v>
      </c>
      <c r="F265" s="16"/>
      <c r="G265" s="17">
        <f t="shared" si="39"/>
        <v>0</v>
      </c>
      <c r="H265" s="17"/>
      <c r="I265" s="18"/>
      <c r="J265" s="12">
        <f>24+9.98-1.579</f>
        <v>32.401</v>
      </c>
      <c r="K265" s="19"/>
      <c r="L265" s="5" t="s">
        <v>108</v>
      </c>
      <c r="M265" s="402"/>
    </row>
    <row r="266" spans="1:13" s="75" customFormat="1" ht="24.75" customHeight="1">
      <c r="A266" s="397"/>
      <c r="B266" s="282"/>
      <c r="C266" s="49" t="s">
        <v>109</v>
      </c>
      <c r="D266" s="7"/>
      <c r="E266" s="12">
        <f t="shared" si="36"/>
        <v>202.33000000000004</v>
      </c>
      <c r="F266" s="16"/>
      <c r="G266" s="17">
        <f t="shared" si="39"/>
        <v>0</v>
      </c>
      <c r="H266" s="17"/>
      <c r="I266" s="18"/>
      <c r="J266" s="12">
        <f>304.8-99.63174-2.83826</f>
        <v>202.33000000000004</v>
      </c>
      <c r="K266" s="19"/>
      <c r="L266" s="5" t="s">
        <v>109</v>
      </c>
      <c r="M266" s="402"/>
    </row>
    <row r="267" spans="1:13" s="75" customFormat="1" ht="24.75" customHeight="1">
      <c r="A267" s="397"/>
      <c r="B267" s="282"/>
      <c r="C267" s="49" t="s">
        <v>110</v>
      </c>
      <c r="D267" s="7"/>
      <c r="E267" s="12">
        <f t="shared" si="36"/>
        <v>193.929</v>
      </c>
      <c r="F267" s="16"/>
      <c r="G267" s="17">
        <f t="shared" si="39"/>
        <v>0</v>
      </c>
      <c r="H267" s="17"/>
      <c r="I267" s="18"/>
      <c r="J267" s="17">
        <f>138.5+55.429</f>
        <v>193.929</v>
      </c>
      <c r="K267" s="19"/>
      <c r="L267" s="5" t="s">
        <v>110</v>
      </c>
      <c r="M267" s="402"/>
    </row>
    <row r="268" spans="1:13" s="75" customFormat="1" ht="24.75" customHeight="1">
      <c r="A268" s="397"/>
      <c r="B268" s="282"/>
      <c r="C268" s="49"/>
      <c r="D268" s="7"/>
      <c r="E268" s="12">
        <f>F268+G268+J268+K268</f>
        <v>522.2139999999999</v>
      </c>
      <c r="F268" s="16"/>
      <c r="G268" s="17">
        <f t="shared" si="39"/>
        <v>0</v>
      </c>
      <c r="H268" s="17"/>
      <c r="I268" s="18"/>
      <c r="J268" s="17">
        <f>874-134.152-30-249.634+62</f>
        <v>522.2139999999999</v>
      </c>
      <c r="K268" s="19"/>
      <c r="L268" s="5" t="s">
        <v>111</v>
      </c>
      <c r="M268" s="402"/>
    </row>
    <row r="269" spans="1:13" s="75" customFormat="1" ht="24.75" customHeight="1">
      <c r="A269" s="397"/>
      <c r="B269" s="282"/>
      <c r="C269" s="49"/>
      <c r="D269" s="7"/>
      <c r="E269" s="12">
        <f t="shared" si="36"/>
        <v>40</v>
      </c>
      <c r="F269" s="16"/>
      <c r="G269" s="17">
        <f t="shared" si="39"/>
        <v>0</v>
      </c>
      <c r="H269" s="17"/>
      <c r="I269" s="18"/>
      <c r="J269" s="17">
        <f>100-60</f>
        <v>40</v>
      </c>
      <c r="K269" s="19"/>
      <c r="L269" s="5" t="s">
        <v>50</v>
      </c>
      <c r="M269" s="402"/>
    </row>
    <row r="270" spans="1:13" s="75" customFormat="1" ht="24.75" customHeight="1" thickBot="1">
      <c r="A270" s="397"/>
      <c r="B270" s="282"/>
      <c r="C270" s="249"/>
      <c r="D270" s="56"/>
      <c r="E270" s="139">
        <f t="shared" si="36"/>
        <v>140</v>
      </c>
      <c r="F270" s="168"/>
      <c r="G270" s="157">
        <f t="shared" si="39"/>
        <v>0</v>
      </c>
      <c r="H270" s="157"/>
      <c r="I270" s="158"/>
      <c r="J270" s="157">
        <f>165-25</f>
        <v>140</v>
      </c>
      <c r="K270" s="159"/>
      <c r="L270" s="253" t="s">
        <v>48</v>
      </c>
      <c r="M270" s="403"/>
    </row>
    <row r="271" spans="1:13" s="75" customFormat="1" ht="26.25" customHeight="1" thickBot="1">
      <c r="A271" s="397"/>
      <c r="B271" s="399"/>
      <c r="C271" s="250"/>
      <c r="D271" s="165">
        <v>2019</v>
      </c>
      <c r="E271" s="166">
        <f aca="true" t="shared" si="40" ref="E271:K271">SUM(E272:E273)</f>
        <v>195.01735000000002</v>
      </c>
      <c r="F271" s="166">
        <f t="shared" si="40"/>
        <v>0</v>
      </c>
      <c r="G271" s="166">
        <f t="shared" si="40"/>
        <v>0</v>
      </c>
      <c r="H271" s="166">
        <f t="shared" si="40"/>
        <v>0</v>
      </c>
      <c r="I271" s="166">
        <f t="shared" si="40"/>
        <v>0</v>
      </c>
      <c r="J271" s="166">
        <f t="shared" si="40"/>
        <v>195.01735000000002</v>
      </c>
      <c r="K271" s="167">
        <f t="shared" si="40"/>
        <v>0</v>
      </c>
      <c r="L271" s="254"/>
      <c r="M271" s="404"/>
    </row>
    <row r="272" spans="1:13" s="75" customFormat="1" ht="33" customHeight="1">
      <c r="A272" s="397"/>
      <c r="B272" s="282"/>
      <c r="C272" s="89" t="s">
        <v>110</v>
      </c>
      <c r="D272" s="160">
        <v>2019</v>
      </c>
      <c r="E272" s="162">
        <f>F272+G272+J272</f>
        <v>126.36635000000001</v>
      </c>
      <c r="F272" s="162"/>
      <c r="G272" s="162">
        <f>H272+I272</f>
        <v>0</v>
      </c>
      <c r="H272" s="162"/>
      <c r="I272" s="162"/>
      <c r="J272" s="162">
        <f>400-273.63365</f>
        <v>126.36635000000001</v>
      </c>
      <c r="K272" s="163"/>
      <c r="L272" s="198" t="s">
        <v>110</v>
      </c>
      <c r="M272" s="337"/>
    </row>
    <row r="273" spans="1:13" s="75" customFormat="1" ht="33" customHeight="1" thickBot="1">
      <c r="A273" s="397"/>
      <c r="B273" s="282"/>
      <c r="C273" s="120" t="s">
        <v>46</v>
      </c>
      <c r="D273" s="248">
        <v>2019</v>
      </c>
      <c r="E273" s="157">
        <f>F273+G273+J273</f>
        <v>68.651</v>
      </c>
      <c r="F273" s="157"/>
      <c r="G273" s="157">
        <f>H273+I273</f>
        <v>0</v>
      </c>
      <c r="H273" s="157"/>
      <c r="I273" s="157"/>
      <c r="J273" s="157">
        <v>68.651</v>
      </c>
      <c r="K273" s="158"/>
      <c r="L273" s="253" t="s">
        <v>46</v>
      </c>
      <c r="M273" s="337"/>
    </row>
    <row r="274" spans="1:13" s="75" customFormat="1" ht="24.75" customHeight="1" thickBot="1">
      <c r="A274" s="397"/>
      <c r="B274" s="399"/>
      <c r="C274" s="145"/>
      <c r="D274" s="251">
        <v>2020</v>
      </c>
      <c r="E274" s="147">
        <f>F274+G274+J274+K274</f>
        <v>305.43</v>
      </c>
      <c r="F274" s="147">
        <v>0</v>
      </c>
      <c r="G274" s="147">
        <v>0</v>
      </c>
      <c r="H274" s="147">
        <v>0</v>
      </c>
      <c r="I274" s="147">
        <v>0</v>
      </c>
      <c r="J274" s="147">
        <f>SUM(J275:J279)</f>
        <v>305.43</v>
      </c>
      <c r="K274" s="255">
        <v>0</v>
      </c>
      <c r="L274" s="256"/>
      <c r="M274" s="404"/>
    </row>
    <row r="275" spans="1:13" s="75" customFormat="1" ht="24.75" customHeight="1" thickBot="1">
      <c r="A275" s="397"/>
      <c r="B275" s="282"/>
      <c r="C275" s="121" t="s">
        <v>111</v>
      </c>
      <c r="D275" s="79"/>
      <c r="E275" s="252">
        <f>F275+G275+J275+K275</f>
        <v>0</v>
      </c>
      <c r="F275" s="142"/>
      <c r="G275" s="142">
        <f>H275+I275</f>
        <v>0</v>
      </c>
      <c r="H275" s="142"/>
      <c r="I275" s="143"/>
      <c r="J275" s="142">
        <f>67.144-67.144</f>
        <v>0</v>
      </c>
      <c r="K275" s="144"/>
      <c r="L275" s="5" t="s">
        <v>7</v>
      </c>
      <c r="M275" s="337"/>
    </row>
    <row r="276" spans="1:13" s="75" customFormat="1" ht="24.75" customHeight="1" thickBot="1">
      <c r="A276" s="397"/>
      <c r="B276" s="282"/>
      <c r="C276" s="121" t="s">
        <v>132</v>
      </c>
      <c r="D276" s="79"/>
      <c r="E276" s="252">
        <f>F276+G276+J276+K276</f>
        <v>250</v>
      </c>
      <c r="F276" s="142"/>
      <c r="G276" s="142">
        <f>H276+I276</f>
        <v>0</v>
      </c>
      <c r="H276" s="142"/>
      <c r="I276" s="143"/>
      <c r="J276" s="142">
        <v>250</v>
      </c>
      <c r="K276" s="144"/>
      <c r="L276" s="119" t="s">
        <v>132</v>
      </c>
      <c r="M276" s="337"/>
    </row>
    <row r="277" spans="1:13" s="75" customFormat="1" ht="24.75" customHeight="1" thickBot="1">
      <c r="A277" s="397"/>
      <c r="B277" s="282"/>
      <c r="C277" s="247" t="s">
        <v>133</v>
      </c>
      <c r="D277" s="56"/>
      <c r="E277" s="280">
        <f>F277+G277+J277+K277</f>
        <v>55.43</v>
      </c>
      <c r="F277" s="139"/>
      <c r="G277" s="152">
        <f>H277+I277</f>
        <v>0</v>
      </c>
      <c r="H277" s="139"/>
      <c r="I277" s="138"/>
      <c r="J277" s="139">
        <v>55.43</v>
      </c>
      <c r="K277" s="141"/>
      <c r="L277" s="246" t="s">
        <v>133</v>
      </c>
      <c r="M277" s="337"/>
    </row>
    <row r="278" spans="1:13" s="75" customFormat="1" ht="24.75" customHeight="1" thickBot="1">
      <c r="A278" s="397"/>
      <c r="B278" s="399"/>
      <c r="C278" s="145"/>
      <c r="D278" s="251">
        <v>2021</v>
      </c>
      <c r="E278" s="252">
        <f>F278+G278+K278</f>
        <v>0</v>
      </c>
      <c r="F278" s="252">
        <v>0</v>
      </c>
      <c r="G278" s="252">
        <f>H278+I278</f>
        <v>0</v>
      </c>
      <c r="H278" s="252">
        <v>0</v>
      </c>
      <c r="I278" s="252">
        <v>0</v>
      </c>
      <c r="J278" s="252">
        <v>0</v>
      </c>
      <c r="K278" s="257">
        <v>0</v>
      </c>
      <c r="L278" s="258"/>
      <c r="M278" s="404"/>
    </row>
    <row r="279" spans="1:13" s="75" customFormat="1" ht="24.75" customHeight="1" thickBot="1">
      <c r="A279" s="398"/>
      <c r="B279" s="400"/>
      <c r="C279" s="145"/>
      <c r="D279" s="251">
        <v>2022</v>
      </c>
      <c r="E279" s="252">
        <f>F279+G279+K279</f>
        <v>0</v>
      </c>
      <c r="F279" s="252">
        <v>0</v>
      </c>
      <c r="G279" s="252">
        <f>H279+I279</f>
        <v>0</v>
      </c>
      <c r="H279" s="252">
        <v>0</v>
      </c>
      <c r="I279" s="252">
        <v>0</v>
      </c>
      <c r="J279" s="252">
        <v>0</v>
      </c>
      <c r="K279" s="257">
        <v>0</v>
      </c>
      <c r="L279" s="258"/>
      <c r="M279" s="404"/>
    </row>
    <row r="280" spans="1:13" s="75" customFormat="1" ht="28.5" customHeight="1" thickBot="1">
      <c r="A280" s="300" t="s">
        <v>120</v>
      </c>
      <c r="B280" s="337" t="s">
        <v>198</v>
      </c>
      <c r="C280" s="259"/>
      <c r="D280" s="260">
        <v>2019</v>
      </c>
      <c r="E280" s="261">
        <f aca="true" t="shared" si="41" ref="E280:K280">E284+E285+E286+E287+E288+E289+E290+E291</f>
        <v>498</v>
      </c>
      <c r="F280" s="261">
        <f t="shared" si="41"/>
        <v>0</v>
      </c>
      <c r="G280" s="261">
        <f t="shared" si="41"/>
        <v>473.00000000000006</v>
      </c>
      <c r="H280" s="261">
        <f t="shared" si="41"/>
        <v>0</v>
      </c>
      <c r="I280" s="261">
        <f t="shared" si="41"/>
        <v>473.00000000000006</v>
      </c>
      <c r="J280" s="261">
        <f t="shared" si="41"/>
        <v>25</v>
      </c>
      <c r="K280" s="262">
        <f t="shared" si="41"/>
        <v>0</v>
      </c>
      <c r="L280" s="263"/>
      <c r="M280" s="23"/>
    </row>
    <row r="281" spans="1:13" s="75" customFormat="1" ht="33" customHeight="1">
      <c r="A281" s="300"/>
      <c r="B281" s="337"/>
      <c r="C281" s="8"/>
      <c r="D281" s="79">
        <v>2020</v>
      </c>
      <c r="E281" s="142">
        <v>0</v>
      </c>
      <c r="F281" s="142">
        <v>0</v>
      </c>
      <c r="G281" s="142">
        <v>0</v>
      </c>
      <c r="H281" s="142">
        <v>0</v>
      </c>
      <c r="I281" s="142">
        <v>0</v>
      </c>
      <c r="J281" s="142">
        <v>0</v>
      </c>
      <c r="K281" s="144">
        <v>0</v>
      </c>
      <c r="L281" s="5"/>
      <c r="M281" s="23"/>
    </row>
    <row r="282" spans="1:13" s="75" customFormat="1" ht="31.5" customHeight="1">
      <c r="A282" s="300"/>
      <c r="B282" s="337"/>
      <c r="C282" s="8"/>
      <c r="D282" s="7">
        <v>2021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4">
        <v>0</v>
      </c>
      <c r="L282" s="5"/>
      <c r="M282" s="23"/>
    </row>
    <row r="283" spans="1:13" s="75" customFormat="1" ht="25.5" customHeight="1">
      <c r="A283" s="300"/>
      <c r="B283" s="337"/>
      <c r="C283" s="8"/>
      <c r="D283" s="7">
        <v>2022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4">
        <v>0</v>
      </c>
      <c r="L283" s="5"/>
      <c r="M283" s="23"/>
    </row>
    <row r="284" spans="1:13" s="75" customFormat="1" ht="43.5" customHeight="1">
      <c r="A284" s="300" t="s">
        <v>119</v>
      </c>
      <c r="B284" s="103" t="s">
        <v>179</v>
      </c>
      <c r="C284" s="6" t="s">
        <v>46</v>
      </c>
      <c r="D284" s="1">
        <v>2019</v>
      </c>
      <c r="E284" s="12">
        <f aca="true" t="shared" si="42" ref="E284:E291">F284+G284+J284+K284</f>
        <v>8.6</v>
      </c>
      <c r="F284" s="12"/>
      <c r="G284" s="12">
        <f>H284+I284</f>
        <v>0</v>
      </c>
      <c r="H284" s="12"/>
      <c r="I284" s="12">
        <v>0</v>
      </c>
      <c r="J284" s="12">
        <v>8.6</v>
      </c>
      <c r="K284" s="14">
        <v>0</v>
      </c>
      <c r="L284" s="5" t="s">
        <v>111</v>
      </c>
      <c r="M284" s="337"/>
    </row>
    <row r="285" spans="1:13" s="75" customFormat="1" ht="54" customHeight="1">
      <c r="A285" s="300"/>
      <c r="B285" s="103" t="s">
        <v>140</v>
      </c>
      <c r="C285" s="6" t="s">
        <v>47</v>
      </c>
      <c r="D285" s="1">
        <v>2019</v>
      </c>
      <c r="E285" s="12">
        <f t="shared" si="42"/>
        <v>15.4</v>
      </c>
      <c r="F285" s="12"/>
      <c r="G285" s="12">
        <f aca="true" t="shared" si="43" ref="G285:G291">H285+I285</f>
        <v>15.4</v>
      </c>
      <c r="H285" s="12"/>
      <c r="I285" s="12">
        <v>15.4</v>
      </c>
      <c r="J285" s="12">
        <v>0</v>
      </c>
      <c r="K285" s="14">
        <v>0</v>
      </c>
      <c r="L285" s="5" t="s">
        <v>50</v>
      </c>
      <c r="M285" s="337"/>
    </row>
    <row r="286" spans="1:13" s="75" customFormat="1" ht="82.5" customHeight="1">
      <c r="A286" s="80" t="s">
        <v>121</v>
      </c>
      <c r="B286" s="23" t="s">
        <v>180</v>
      </c>
      <c r="C286" s="6" t="s">
        <v>46</v>
      </c>
      <c r="D286" s="1">
        <v>2019</v>
      </c>
      <c r="E286" s="12">
        <f t="shared" si="42"/>
        <v>137.612</v>
      </c>
      <c r="F286" s="12"/>
      <c r="G286" s="12">
        <f t="shared" si="43"/>
        <v>137.612</v>
      </c>
      <c r="H286" s="12"/>
      <c r="I286" s="12">
        <v>137.612</v>
      </c>
      <c r="J286" s="12">
        <v>0</v>
      </c>
      <c r="K286" s="14">
        <v>0</v>
      </c>
      <c r="L286" s="5" t="s">
        <v>111</v>
      </c>
      <c r="M286" s="23" t="s">
        <v>126</v>
      </c>
    </row>
    <row r="287" spans="1:13" s="75" customFormat="1" ht="77.25" customHeight="1">
      <c r="A287" s="80" t="s">
        <v>122</v>
      </c>
      <c r="B287" s="23" t="s">
        <v>181</v>
      </c>
      <c r="C287" s="6" t="s">
        <v>46</v>
      </c>
      <c r="D287" s="1">
        <v>2019</v>
      </c>
      <c r="E287" s="12">
        <f t="shared" si="42"/>
        <v>131.693</v>
      </c>
      <c r="F287" s="12"/>
      <c r="G287" s="12">
        <f>H287+I287</f>
        <v>131.693</v>
      </c>
      <c r="H287" s="12"/>
      <c r="I287" s="12">
        <f>120.581+11.112</f>
        <v>131.693</v>
      </c>
      <c r="J287" s="12">
        <v>0</v>
      </c>
      <c r="K287" s="14">
        <v>0</v>
      </c>
      <c r="L287" s="5" t="s">
        <v>111</v>
      </c>
      <c r="M287" s="337" t="s">
        <v>127</v>
      </c>
    </row>
    <row r="288" spans="1:13" s="75" customFormat="1" ht="75" customHeight="1">
      <c r="A288" s="300" t="s">
        <v>123</v>
      </c>
      <c r="B288" s="23" t="s">
        <v>182</v>
      </c>
      <c r="C288" s="6" t="s">
        <v>46</v>
      </c>
      <c r="D288" s="1">
        <v>2019</v>
      </c>
      <c r="E288" s="12">
        <f t="shared" si="42"/>
        <v>44.018</v>
      </c>
      <c r="F288" s="12"/>
      <c r="G288" s="12">
        <f t="shared" si="43"/>
        <v>36.039</v>
      </c>
      <c r="H288" s="12"/>
      <c r="I288" s="12">
        <f>44.018-7.979</f>
        <v>36.039</v>
      </c>
      <c r="J288" s="12">
        <f>16.579-8.6</f>
        <v>7.979000000000001</v>
      </c>
      <c r="K288" s="14">
        <v>0</v>
      </c>
      <c r="L288" s="5" t="s">
        <v>111</v>
      </c>
      <c r="M288" s="337"/>
    </row>
    <row r="289" spans="1:13" s="75" customFormat="1" ht="73.5" customHeight="1">
      <c r="A289" s="300"/>
      <c r="B289" s="23" t="s">
        <v>183</v>
      </c>
      <c r="C289" s="6" t="s">
        <v>46</v>
      </c>
      <c r="D289" s="1">
        <v>2019</v>
      </c>
      <c r="E289" s="12">
        <f t="shared" si="42"/>
        <v>7.656000000000001</v>
      </c>
      <c r="F289" s="12"/>
      <c r="G289" s="12">
        <f t="shared" si="43"/>
        <v>7.656000000000001</v>
      </c>
      <c r="H289" s="12"/>
      <c r="I289" s="12">
        <f>18.768-11.112</f>
        <v>7.656000000000001</v>
      </c>
      <c r="J289" s="12"/>
      <c r="K289" s="14"/>
      <c r="L289" s="5" t="s">
        <v>185</v>
      </c>
      <c r="M289" s="23"/>
    </row>
    <row r="290" spans="1:13" s="75" customFormat="1" ht="90" customHeight="1">
      <c r="A290" s="300"/>
      <c r="B290" s="23" t="s">
        <v>139</v>
      </c>
      <c r="C290" s="6" t="s">
        <v>47</v>
      </c>
      <c r="D290" s="1">
        <v>2019</v>
      </c>
      <c r="E290" s="12">
        <f t="shared" si="42"/>
        <v>10.74</v>
      </c>
      <c r="F290" s="12"/>
      <c r="G290" s="12">
        <f t="shared" si="43"/>
        <v>10.74</v>
      </c>
      <c r="H290" s="12"/>
      <c r="I290" s="12">
        <v>10.74</v>
      </c>
      <c r="J290" s="12">
        <v>0</v>
      </c>
      <c r="K290" s="14">
        <v>0</v>
      </c>
      <c r="L290" s="5" t="s">
        <v>50</v>
      </c>
      <c r="M290" s="23" t="s">
        <v>128</v>
      </c>
    </row>
    <row r="291" spans="1:13" s="75" customFormat="1" ht="55.5" customHeight="1">
      <c r="A291" s="80" t="s">
        <v>124</v>
      </c>
      <c r="B291" s="23" t="s">
        <v>125</v>
      </c>
      <c r="C291" s="6" t="s">
        <v>47</v>
      </c>
      <c r="D291" s="1">
        <v>2019</v>
      </c>
      <c r="E291" s="12">
        <f t="shared" si="42"/>
        <v>142.281</v>
      </c>
      <c r="F291" s="12"/>
      <c r="G291" s="12">
        <f t="shared" si="43"/>
        <v>133.86</v>
      </c>
      <c r="H291" s="12"/>
      <c r="I291" s="12">
        <v>133.86</v>
      </c>
      <c r="J291" s="12">
        <v>8.421</v>
      </c>
      <c r="K291" s="14">
        <v>0</v>
      </c>
      <c r="L291" s="5" t="s">
        <v>50</v>
      </c>
      <c r="M291" s="23" t="s">
        <v>129</v>
      </c>
    </row>
    <row r="292" spans="1:13" s="87" customFormat="1" ht="89.25" customHeight="1">
      <c r="A292" s="90" t="s">
        <v>166</v>
      </c>
      <c r="B292" s="388" t="s">
        <v>163</v>
      </c>
      <c r="C292" s="389"/>
      <c r="D292" s="4">
        <v>2019</v>
      </c>
      <c r="E292" s="13">
        <f aca="true" t="shared" si="44" ref="E292:K292">E293+E294</f>
        <v>1013.9999999999999</v>
      </c>
      <c r="F292" s="13">
        <f t="shared" si="44"/>
        <v>0</v>
      </c>
      <c r="G292" s="13">
        <f t="shared" si="44"/>
        <v>963</v>
      </c>
      <c r="H292" s="13">
        <f t="shared" si="44"/>
        <v>0</v>
      </c>
      <c r="I292" s="13">
        <f t="shared" si="44"/>
        <v>963</v>
      </c>
      <c r="J292" s="13">
        <f t="shared" si="44"/>
        <v>51</v>
      </c>
      <c r="K292" s="13">
        <f t="shared" si="44"/>
        <v>0</v>
      </c>
      <c r="L292" s="55"/>
      <c r="M292" s="99"/>
    </row>
    <row r="293" spans="1:13" s="75" customFormat="1" ht="71.25" customHeight="1">
      <c r="A293" s="80" t="s">
        <v>167</v>
      </c>
      <c r="B293" s="390" t="s">
        <v>163</v>
      </c>
      <c r="C293" s="390"/>
      <c r="D293" s="100">
        <v>2019</v>
      </c>
      <c r="E293" s="26">
        <f>F293+G293+J293+K293</f>
        <v>800.0321799999999</v>
      </c>
      <c r="F293" s="91"/>
      <c r="G293" s="26">
        <f>H293+I293</f>
        <v>760.03</v>
      </c>
      <c r="H293" s="92"/>
      <c r="I293" s="206">
        <f>765.502-5.472</f>
        <v>760.03</v>
      </c>
      <c r="J293" s="207">
        <f>40.2898-0.28762</f>
        <v>40.00218</v>
      </c>
      <c r="K293" s="93"/>
      <c r="L293" s="94" t="s">
        <v>51</v>
      </c>
      <c r="M293" s="391" t="s">
        <v>164</v>
      </c>
    </row>
    <row r="294" spans="1:13" s="75" customFormat="1" ht="74.25" customHeight="1">
      <c r="A294" s="101" t="s">
        <v>168</v>
      </c>
      <c r="B294" s="393" t="s">
        <v>163</v>
      </c>
      <c r="C294" s="394"/>
      <c r="D294" s="100">
        <v>2019</v>
      </c>
      <c r="E294" s="72">
        <f>F294+G294+J294+K294</f>
        <v>213.96782</v>
      </c>
      <c r="F294" s="95"/>
      <c r="G294" s="72">
        <f>H294+I294</f>
        <v>202.97</v>
      </c>
      <c r="H294" s="96"/>
      <c r="I294" s="208">
        <f>197.498+5.472</f>
        <v>202.97</v>
      </c>
      <c r="J294" s="209">
        <f>10.7102+0.28762</f>
        <v>10.99782</v>
      </c>
      <c r="K294" s="97"/>
      <c r="L294" s="98" t="s">
        <v>175</v>
      </c>
      <c r="M294" s="392"/>
    </row>
    <row r="295" spans="1:13" s="75" customFormat="1" ht="24.75" customHeight="1">
      <c r="A295" s="374" t="s">
        <v>169</v>
      </c>
      <c r="B295" s="376" t="s">
        <v>205</v>
      </c>
      <c r="C295" s="377"/>
      <c r="D295" s="122">
        <v>2020</v>
      </c>
      <c r="E295" s="186">
        <f aca="true" t="shared" si="45" ref="E295:K295">E298+E299+E300+++++E302+E308+E309+E310+E311</f>
        <v>0</v>
      </c>
      <c r="F295" s="186">
        <f t="shared" si="45"/>
        <v>0</v>
      </c>
      <c r="G295" s="186">
        <f t="shared" si="45"/>
        <v>0</v>
      </c>
      <c r="H295" s="186">
        <f t="shared" si="45"/>
        <v>0</v>
      </c>
      <c r="I295" s="186">
        <f t="shared" si="45"/>
        <v>0</v>
      </c>
      <c r="J295" s="186">
        <f t="shared" si="45"/>
        <v>0</v>
      </c>
      <c r="K295" s="186">
        <f t="shared" si="45"/>
        <v>0</v>
      </c>
      <c r="L295" s="98"/>
      <c r="M295" s="120">
        <v>1377</v>
      </c>
    </row>
    <row r="296" spans="1:13" s="75" customFormat="1" ht="24.75" customHeight="1">
      <c r="A296" s="375"/>
      <c r="B296" s="378"/>
      <c r="C296" s="379"/>
      <c r="D296" s="122">
        <v>2021</v>
      </c>
      <c r="E296" s="186">
        <f aca="true" t="shared" si="46" ref="E296:K296">E301+E303+E304+E305+E306+E307</f>
        <v>0</v>
      </c>
      <c r="F296" s="186">
        <f t="shared" si="46"/>
        <v>0</v>
      </c>
      <c r="G296" s="186">
        <f t="shared" si="46"/>
        <v>0</v>
      </c>
      <c r="H296" s="186">
        <f t="shared" si="46"/>
        <v>0</v>
      </c>
      <c r="I296" s="186">
        <f t="shared" si="46"/>
        <v>0</v>
      </c>
      <c r="J296" s="186">
        <f t="shared" si="46"/>
        <v>0</v>
      </c>
      <c r="K296" s="186">
        <f t="shared" si="46"/>
        <v>0</v>
      </c>
      <c r="L296" s="98"/>
      <c r="M296" s="120">
        <v>1630</v>
      </c>
    </row>
    <row r="297" spans="1:13" s="75" customFormat="1" ht="24.75" customHeight="1" thickBot="1">
      <c r="A297" s="375"/>
      <c r="B297" s="378"/>
      <c r="C297" s="379"/>
      <c r="D297" s="122">
        <v>2022</v>
      </c>
      <c r="E297" s="186">
        <v>0</v>
      </c>
      <c r="F297" s="186">
        <v>0</v>
      </c>
      <c r="G297" s="186">
        <v>0</v>
      </c>
      <c r="H297" s="186">
        <v>0</v>
      </c>
      <c r="I297" s="186">
        <v>0</v>
      </c>
      <c r="J297" s="186">
        <v>0</v>
      </c>
      <c r="K297" s="186">
        <v>0</v>
      </c>
      <c r="L297" s="98"/>
      <c r="M297" s="120"/>
    </row>
    <row r="298" spans="1:13" s="75" customFormat="1" ht="24.75" customHeight="1">
      <c r="A298" s="380" t="s">
        <v>199</v>
      </c>
      <c r="B298" s="383" t="s">
        <v>186</v>
      </c>
      <c r="C298" s="176" t="s">
        <v>187</v>
      </c>
      <c r="D298" s="188">
        <v>2020</v>
      </c>
      <c r="E298" s="189"/>
      <c r="F298" s="189"/>
      <c r="G298" s="189"/>
      <c r="H298" s="189"/>
      <c r="I298" s="189"/>
      <c r="J298" s="189">
        <v>0</v>
      </c>
      <c r="K298" s="190"/>
      <c r="L298" s="191" t="s">
        <v>187</v>
      </c>
      <c r="M298" s="63"/>
    </row>
    <row r="299" spans="1:13" s="75" customFormat="1" ht="24.75" customHeight="1">
      <c r="A299" s="381"/>
      <c r="B299" s="282"/>
      <c r="C299" s="6" t="s">
        <v>188</v>
      </c>
      <c r="D299" s="1">
        <v>2020</v>
      </c>
      <c r="E299" s="12"/>
      <c r="F299" s="12"/>
      <c r="G299" s="12"/>
      <c r="H299" s="12"/>
      <c r="I299" s="12"/>
      <c r="J299" s="12">
        <v>0</v>
      </c>
      <c r="K299" s="14"/>
      <c r="L299" s="5" t="s">
        <v>188</v>
      </c>
      <c r="M299" s="64"/>
    </row>
    <row r="300" spans="1:13" s="75" customFormat="1" ht="24.75" customHeight="1">
      <c r="A300" s="381"/>
      <c r="B300" s="282"/>
      <c r="C300" s="6" t="s">
        <v>189</v>
      </c>
      <c r="D300" s="1">
        <v>2020</v>
      </c>
      <c r="E300" s="12"/>
      <c r="F300" s="12"/>
      <c r="G300" s="12"/>
      <c r="H300" s="12"/>
      <c r="I300" s="12"/>
      <c r="J300" s="12">
        <v>0</v>
      </c>
      <c r="K300" s="14"/>
      <c r="L300" s="5" t="s">
        <v>189</v>
      </c>
      <c r="M300" s="64"/>
    </row>
    <row r="301" spans="1:13" s="75" customFormat="1" ht="24.75" customHeight="1" thickBot="1">
      <c r="A301" s="382"/>
      <c r="B301" s="384"/>
      <c r="C301" s="192" t="s">
        <v>193</v>
      </c>
      <c r="D301" s="193">
        <v>2021</v>
      </c>
      <c r="E301" s="194"/>
      <c r="F301" s="194"/>
      <c r="G301" s="194"/>
      <c r="H301" s="194"/>
      <c r="I301" s="194"/>
      <c r="J301" s="194">
        <v>0</v>
      </c>
      <c r="K301" s="195"/>
      <c r="L301" s="196" t="s">
        <v>193</v>
      </c>
      <c r="M301" s="68"/>
    </row>
    <row r="302" spans="1:13" s="75" customFormat="1" ht="24.75" customHeight="1">
      <c r="A302" s="385" t="s">
        <v>200</v>
      </c>
      <c r="B302" s="383" t="s">
        <v>190</v>
      </c>
      <c r="C302" s="176" t="s">
        <v>189</v>
      </c>
      <c r="D302" s="188">
        <v>2020</v>
      </c>
      <c r="E302" s="189"/>
      <c r="F302" s="189"/>
      <c r="G302" s="189"/>
      <c r="H302" s="189"/>
      <c r="I302" s="189"/>
      <c r="J302" s="189">
        <v>0</v>
      </c>
      <c r="K302" s="190"/>
      <c r="L302" s="191" t="s">
        <v>189</v>
      </c>
      <c r="M302" s="63"/>
    </row>
    <row r="303" spans="1:13" s="75" customFormat="1" ht="24.75" customHeight="1">
      <c r="A303" s="386"/>
      <c r="B303" s="282"/>
      <c r="C303" s="6" t="s">
        <v>196</v>
      </c>
      <c r="D303" s="1">
        <v>2021</v>
      </c>
      <c r="E303" s="12"/>
      <c r="F303" s="12"/>
      <c r="G303" s="12"/>
      <c r="H303" s="12"/>
      <c r="I303" s="12"/>
      <c r="J303" s="12">
        <v>0</v>
      </c>
      <c r="K303" s="14"/>
      <c r="L303" s="5" t="s">
        <v>196</v>
      </c>
      <c r="M303" s="64"/>
    </row>
    <row r="304" spans="1:13" s="75" customFormat="1" ht="24.75" customHeight="1">
      <c r="A304" s="386"/>
      <c r="B304" s="282"/>
      <c r="C304" s="6" t="s">
        <v>48</v>
      </c>
      <c r="D304" s="1">
        <v>2021</v>
      </c>
      <c r="E304" s="12"/>
      <c r="F304" s="12"/>
      <c r="G304" s="12"/>
      <c r="H304" s="12"/>
      <c r="I304" s="12"/>
      <c r="J304" s="12">
        <v>0</v>
      </c>
      <c r="K304" s="14"/>
      <c r="L304" s="5" t="s">
        <v>197</v>
      </c>
      <c r="M304" s="64"/>
    </row>
    <row r="305" spans="1:13" s="75" customFormat="1" ht="24.75" customHeight="1">
      <c r="A305" s="386"/>
      <c r="B305" s="282"/>
      <c r="C305" s="6" t="s">
        <v>156</v>
      </c>
      <c r="D305" s="1">
        <v>2021</v>
      </c>
      <c r="E305" s="12"/>
      <c r="F305" s="12"/>
      <c r="G305" s="12"/>
      <c r="H305" s="12"/>
      <c r="I305" s="12"/>
      <c r="J305" s="12">
        <v>0</v>
      </c>
      <c r="K305" s="14"/>
      <c r="L305" s="5" t="s">
        <v>156</v>
      </c>
      <c r="M305" s="64"/>
    </row>
    <row r="306" spans="1:13" s="75" customFormat="1" ht="24.75" customHeight="1">
      <c r="A306" s="386"/>
      <c r="B306" s="282"/>
      <c r="C306" s="6" t="s">
        <v>155</v>
      </c>
      <c r="D306" s="1">
        <v>2021</v>
      </c>
      <c r="E306" s="12"/>
      <c r="F306" s="12"/>
      <c r="G306" s="12"/>
      <c r="H306" s="12"/>
      <c r="I306" s="12"/>
      <c r="J306" s="12">
        <v>0</v>
      </c>
      <c r="K306" s="14"/>
      <c r="L306" s="5" t="s">
        <v>155</v>
      </c>
      <c r="M306" s="64"/>
    </row>
    <row r="307" spans="1:13" s="75" customFormat="1" ht="24.75" customHeight="1" thickBot="1">
      <c r="A307" s="387"/>
      <c r="B307" s="384"/>
      <c r="C307" s="192" t="s">
        <v>193</v>
      </c>
      <c r="D307" s="193">
        <v>2021</v>
      </c>
      <c r="E307" s="194"/>
      <c r="F307" s="194"/>
      <c r="G307" s="194"/>
      <c r="H307" s="194"/>
      <c r="I307" s="194"/>
      <c r="J307" s="194">
        <v>0</v>
      </c>
      <c r="K307" s="195"/>
      <c r="L307" s="196" t="s">
        <v>193</v>
      </c>
      <c r="M307" s="68"/>
    </row>
    <row r="308" spans="1:13" s="75" customFormat="1" ht="39.75" customHeight="1">
      <c r="A308" s="187" t="s">
        <v>201</v>
      </c>
      <c r="B308" s="179" t="s">
        <v>195</v>
      </c>
      <c r="C308" s="119" t="s">
        <v>155</v>
      </c>
      <c r="D308" s="197">
        <v>2020</v>
      </c>
      <c r="E308" s="142"/>
      <c r="F308" s="142"/>
      <c r="G308" s="142"/>
      <c r="H308" s="142"/>
      <c r="I308" s="142"/>
      <c r="J308" s="142">
        <v>0</v>
      </c>
      <c r="K308" s="144"/>
      <c r="L308" s="198" t="s">
        <v>155</v>
      </c>
      <c r="M308" s="78"/>
    </row>
    <row r="309" spans="1:13" s="75" customFormat="1" ht="36" customHeight="1">
      <c r="A309" s="101" t="s">
        <v>202</v>
      </c>
      <c r="B309" s="180" t="s">
        <v>191</v>
      </c>
      <c r="C309" s="6" t="s">
        <v>155</v>
      </c>
      <c r="D309" s="1">
        <v>2020</v>
      </c>
      <c r="E309" s="12"/>
      <c r="F309" s="12"/>
      <c r="G309" s="12"/>
      <c r="H309" s="12"/>
      <c r="I309" s="12"/>
      <c r="J309" s="12">
        <v>0</v>
      </c>
      <c r="K309" s="14"/>
      <c r="L309" s="5" t="s">
        <v>155</v>
      </c>
      <c r="M309" s="23"/>
    </row>
    <row r="310" spans="1:13" s="75" customFormat="1" ht="37.5" customHeight="1">
      <c r="A310" s="199" t="s">
        <v>203</v>
      </c>
      <c r="B310" s="180" t="s">
        <v>192</v>
      </c>
      <c r="C310" s="6" t="s">
        <v>193</v>
      </c>
      <c r="D310" s="1">
        <v>2020</v>
      </c>
      <c r="E310" s="12"/>
      <c r="F310" s="12"/>
      <c r="G310" s="12"/>
      <c r="H310" s="12"/>
      <c r="I310" s="12"/>
      <c r="J310" s="12">
        <v>0</v>
      </c>
      <c r="K310" s="14"/>
      <c r="L310" s="5" t="s">
        <v>193</v>
      </c>
      <c r="M310" s="23"/>
    </row>
    <row r="311" spans="1:13" s="75" customFormat="1" ht="41.25" customHeight="1">
      <c r="A311" s="199" t="s">
        <v>204</v>
      </c>
      <c r="B311" s="180" t="s">
        <v>194</v>
      </c>
      <c r="C311" s="6" t="s">
        <v>193</v>
      </c>
      <c r="D311" s="1">
        <v>2020</v>
      </c>
      <c r="E311" s="12"/>
      <c r="F311" s="12"/>
      <c r="G311" s="12"/>
      <c r="H311" s="12"/>
      <c r="I311" s="12"/>
      <c r="J311" s="12">
        <v>0</v>
      </c>
      <c r="K311" s="14"/>
      <c r="L311" s="5" t="s">
        <v>193</v>
      </c>
      <c r="M311" s="23"/>
    </row>
    <row r="312" spans="1:13" s="87" customFormat="1" ht="41.25" customHeight="1">
      <c r="A312" s="293" t="s">
        <v>265</v>
      </c>
      <c r="B312" s="298" t="s">
        <v>267</v>
      </c>
      <c r="C312" s="299"/>
      <c r="D312" s="4">
        <v>2020</v>
      </c>
      <c r="E312" s="13">
        <f>F312+G312+J312+K312</f>
        <v>1762</v>
      </c>
      <c r="F312" s="13"/>
      <c r="G312" s="13">
        <f>H312+I312</f>
        <v>1533</v>
      </c>
      <c r="H312" s="13"/>
      <c r="I312" s="13">
        <f>I313+I314+I315</f>
        <v>1533</v>
      </c>
      <c r="J312" s="13">
        <f>J313+J314+J315</f>
        <v>229</v>
      </c>
      <c r="K312" s="13">
        <f>K313+K314+K315</f>
        <v>0</v>
      </c>
      <c r="L312" s="55"/>
      <c r="M312" s="272"/>
    </row>
    <row r="313" spans="1:13" s="75" customFormat="1" ht="75" customHeight="1">
      <c r="A313" s="294"/>
      <c r="B313" s="296" t="s">
        <v>268</v>
      </c>
      <c r="C313" s="297"/>
      <c r="D313" s="1">
        <v>2020</v>
      </c>
      <c r="E313" s="12">
        <f>F313+G313+J313+K313</f>
        <v>300</v>
      </c>
      <c r="F313" s="12"/>
      <c r="G313" s="12">
        <f>H313+I313</f>
        <v>261</v>
      </c>
      <c r="H313" s="12"/>
      <c r="I313" s="12">
        <v>261</v>
      </c>
      <c r="J313" s="12">
        <v>39</v>
      </c>
      <c r="K313" s="14">
        <v>0</v>
      </c>
      <c r="L313" s="5" t="s">
        <v>266</v>
      </c>
      <c r="M313" s="270"/>
    </row>
    <row r="314" spans="1:13" s="75" customFormat="1" ht="55.5" customHeight="1">
      <c r="A314" s="294"/>
      <c r="B314" s="296" t="s">
        <v>269</v>
      </c>
      <c r="C314" s="297"/>
      <c r="D314" s="1">
        <v>2020</v>
      </c>
      <c r="E314" s="12">
        <f>F314+G314+J314+K314</f>
        <v>657.4</v>
      </c>
      <c r="F314" s="12"/>
      <c r="G314" s="12">
        <f>H314+I314</f>
        <v>572</v>
      </c>
      <c r="H314" s="12"/>
      <c r="I314" s="12">
        <v>572</v>
      </c>
      <c r="J314" s="12">
        <v>85.4</v>
      </c>
      <c r="K314" s="14">
        <v>0</v>
      </c>
      <c r="L314" s="5" t="s">
        <v>111</v>
      </c>
      <c r="M314" s="270"/>
    </row>
    <row r="315" spans="1:13" s="75" customFormat="1" ht="55.5" customHeight="1">
      <c r="A315" s="295"/>
      <c r="B315" s="296" t="s">
        <v>269</v>
      </c>
      <c r="C315" s="297"/>
      <c r="D315" s="1">
        <v>2020</v>
      </c>
      <c r="E315" s="12">
        <f>F315+G315+J315+K315</f>
        <v>804.6</v>
      </c>
      <c r="F315" s="12"/>
      <c r="G315" s="12">
        <f>H315+I315</f>
        <v>700</v>
      </c>
      <c r="H315" s="12"/>
      <c r="I315" s="12">
        <v>700</v>
      </c>
      <c r="J315" s="12">
        <v>104.6</v>
      </c>
      <c r="K315" s="14">
        <v>0</v>
      </c>
      <c r="L315" s="5" t="s">
        <v>50</v>
      </c>
      <c r="M315" s="270"/>
    </row>
    <row r="316" spans="1:13" s="87" customFormat="1" ht="24.75" customHeight="1">
      <c r="A316" s="102"/>
      <c r="B316" s="307"/>
      <c r="C316" s="307"/>
      <c r="D316" s="4"/>
      <c r="E316" s="24"/>
      <c r="F316" s="24"/>
      <c r="G316" s="24"/>
      <c r="H316" s="24"/>
      <c r="I316" s="24"/>
      <c r="J316" s="24"/>
      <c r="K316" s="109"/>
      <c r="L316" s="110"/>
      <c r="M316" s="103"/>
    </row>
    <row r="317" spans="1:13" s="87" customFormat="1" ht="24.75" customHeight="1">
      <c r="A317" s="102"/>
      <c r="B317" s="113"/>
      <c r="C317" s="114"/>
      <c r="D317" s="4"/>
      <c r="E317" s="24"/>
      <c r="F317" s="24"/>
      <c r="G317" s="24"/>
      <c r="H317" s="24"/>
      <c r="I317" s="24"/>
      <c r="J317" s="24"/>
      <c r="K317" s="109"/>
      <c r="L317" s="110"/>
      <c r="M317" s="103"/>
    </row>
    <row r="318" spans="1:13" s="75" customFormat="1" ht="24.75" customHeight="1">
      <c r="A318" s="308"/>
      <c r="B318" s="362" t="s">
        <v>40</v>
      </c>
      <c r="C318" s="363"/>
      <c r="D318" s="7">
        <v>2017</v>
      </c>
      <c r="E318" s="45">
        <f>F318+G318+J318+K318</f>
        <v>26434.284</v>
      </c>
      <c r="F318" s="170">
        <f>G318+H318</f>
        <v>0</v>
      </c>
      <c r="G318" s="170">
        <f>H318+I318</f>
        <v>0</v>
      </c>
      <c r="H318" s="171">
        <f>H204+H205</f>
        <v>0</v>
      </c>
      <c r="I318" s="171">
        <f>I204+I205</f>
        <v>0</v>
      </c>
      <c r="J318" s="45">
        <f>J204+J205</f>
        <v>26434.284</v>
      </c>
      <c r="K318" s="45">
        <v>0</v>
      </c>
      <c r="L318" s="5"/>
      <c r="M318" s="23"/>
    </row>
    <row r="319" spans="1:13" s="75" customFormat="1" ht="24.75" customHeight="1">
      <c r="A319" s="308"/>
      <c r="B319" s="364"/>
      <c r="C319" s="365"/>
      <c r="D319" s="7">
        <v>2018</v>
      </c>
      <c r="E319" s="45">
        <f>F319+G319+J319+K319</f>
        <v>29674.233</v>
      </c>
      <c r="F319" s="170">
        <f>G319+H319</f>
        <v>0</v>
      </c>
      <c r="G319" s="170">
        <f>H319+I319</f>
        <v>0</v>
      </c>
      <c r="H319" s="171">
        <f>H206</f>
        <v>0</v>
      </c>
      <c r="I319" s="171">
        <f>I206</f>
        <v>0</v>
      </c>
      <c r="J319" s="45">
        <f>J206+J263</f>
        <v>29674.233</v>
      </c>
      <c r="K319" s="171">
        <v>0</v>
      </c>
      <c r="L319" s="5"/>
      <c r="M319" s="23"/>
    </row>
    <row r="320" spans="1:13" s="75" customFormat="1" ht="24.75" customHeight="1">
      <c r="A320" s="308"/>
      <c r="B320" s="364"/>
      <c r="C320" s="365"/>
      <c r="D320" s="7">
        <v>2019</v>
      </c>
      <c r="E320" s="45">
        <f aca="true" t="shared" si="47" ref="E320:K320">E222+E271+E280+E251+E292</f>
        <v>27583.2734</v>
      </c>
      <c r="F320" s="45">
        <f t="shared" si="47"/>
        <v>0</v>
      </c>
      <c r="G320" s="45">
        <f t="shared" si="47"/>
        <v>1436</v>
      </c>
      <c r="H320" s="45">
        <f t="shared" si="47"/>
        <v>0</v>
      </c>
      <c r="I320" s="45">
        <f t="shared" si="47"/>
        <v>1436</v>
      </c>
      <c r="J320" s="45">
        <f t="shared" si="47"/>
        <v>26147.2734</v>
      </c>
      <c r="K320" s="45">
        <f t="shared" si="47"/>
        <v>0</v>
      </c>
      <c r="L320" s="5"/>
      <c r="M320" s="23"/>
    </row>
    <row r="321" spans="1:13" s="75" customFormat="1" ht="24.75" customHeight="1">
      <c r="A321" s="308"/>
      <c r="B321" s="364"/>
      <c r="C321" s="365"/>
      <c r="D321" s="7">
        <v>2020</v>
      </c>
      <c r="E321" s="45">
        <f aca="true" t="shared" si="48" ref="E321:J321">E237+E253+E274+E281+E295+E312</f>
        <v>18277.29028</v>
      </c>
      <c r="F321" s="45">
        <f t="shared" si="48"/>
        <v>0</v>
      </c>
      <c r="G321" s="45">
        <f t="shared" si="48"/>
        <v>1533</v>
      </c>
      <c r="H321" s="45">
        <f t="shared" si="48"/>
        <v>0</v>
      </c>
      <c r="I321" s="45">
        <f t="shared" si="48"/>
        <v>1533</v>
      </c>
      <c r="J321" s="45">
        <f t="shared" si="48"/>
        <v>16744.29028</v>
      </c>
      <c r="K321" s="45">
        <f>K237+K253+K274+K281+K295</f>
        <v>0</v>
      </c>
      <c r="L321" s="5"/>
      <c r="M321" s="23"/>
    </row>
    <row r="322" spans="1:13" s="75" customFormat="1" ht="24.75" customHeight="1">
      <c r="A322" s="308"/>
      <c r="B322" s="364"/>
      <c r="C322" s="365"/>
      <c r="D322" s="7">
        <v>2021</v>
      </c>
      <c r="E322" s="45">
        <f aca="true" t="shared" si="49" ref="E322:K322">E247+E254+E278+E282+E296</f>
        <v>22888.568</v>
      </c>
      <c r="F322" s="45">
        <f t="shared" si="49"/>
        <v>0</v>
      </c>
      <c r="G322" s="45">
        <f t="shared" si="49"/>
        <v>0</v>
      </c>
      <c r="H322" s="45">
        <f t="shared" si="49"/>
        <v>0</v>
      </c>
      <c r="I322" s="45">
        <f t="shared" si="49"/>
        <v>0</v>
      </c>
      <c r="J322" s="45">
        <f t="shared" si="49"/>
        <v>22888.568</v>
      </c>
      <c r="K322" s="45">
        <f t="shared" si="49"/>
        <v>0</v>
      </c>
      <c r="L322" s="5"/>
      <c r="M322" s="23"/>
    </row>
    <row r="323" spans="1:13" s="75" customFormat="1" ht="24.75" customHeight="1">
      <c r="A323" s="308"/>
      <c r="B323" s="366"/>
      <c r="C323" s="367"/>
      <c r="D323" s="7">
        <v>2022</v>
      </c>
      <c r="E323" s="45">
        <f aca="true" t="shared" si="50" ref="E323:K323">E249+E279+E283+E297</f>
        <v>20972.961</v>
      </c>
      <c r="F323" s="45">
        <f t="shared" si="50"/>
        <v>0</v>
      </c>
      <c r="G323" s="45">
        <f t="shared" si="50"/>
        <v>0</v>
      </c>
      <c r="H323" s="45">
        <f t="shared" si="50"/>
        <v>0</v>
      </c>
      <c r="I323" s="45">
        <f t="shared" si="50"/>
        <v>0</v>
      </c>
      <c r="J323" s="45">
        <f t="shared" si="50"/>
        <v>20972.961</v>
      </c>
      <c r="K323" s="45">
        <f t="shared" si="50"/>
        <v>0</v>
      </c>
      <c r="L323" s="5"/>
      <c r="M323" s="23"/>
    </row>
    <row r="324" spans="1:13" s="75" customFormat="1" ht="27" customHeight="1">
      <c r="A324" s="314" t="s">
        <v>105</v>
      </c>
      <c r="B324" s="368"/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9"/>
    </row>
    <row r="325" spans="1:13" s="75" customFormat="1" ht="29.25" customHeight="1">
      <c r="A325" s="345" t="s">
        <v>60</v>
      </c>
      <c r="B325" s="370"/>
      <c r="C325" s="370"/>
      <c r="D325" s="370"/>
      <c r="E325" s="370"/>
      <c r="F325" s="370"/>
      <c r="G325" s="370"/>
      <c r="H325" s="370"/>
      <c r="I325" s="370"/>
      <c r="J325" s="370"/>
      <c r="K325" s="370"/>
      <c r="L325" s="371"/>
      <c r="M325" s="372"/>
    </row>
    <row r="326" spans="1:13" s="75" customFormat="1" ht="27" customHeight="1">
      <c r="A326" s="345" t="s">
        <v>141</v>
      </c>
      <c r="B326" s="370"/>
      <c r="C326" s="370"/>
      <c r="D326" s="370"/>
      <c r="E326" s="370"/>
      <c r="F326" s="370"/>
      <c r="G326" s="370"/>
      <c r="H326" s="370"/>
      <c r="I326" s="370"/>
      <c r="J326" s="370"/>
      <c r="K326" s="373"/>
      <c r="L326" s="8"/>
      <c r="M326" s="23"/>
    </row>
    <row r="327" spans="1:13" s="75" customFormat="1" ht="49.5" customHeight="1">
      <c r="A327" s="300" t="s">
        <v>90</v>
      </c>
      <c r="B327" s="301" t="s">
        <v>142</v>
      </c>
      <c r="C327" s="302"/>
      <c r="D327" s="4">
        <v>2017</v>
      </c>
      <c r="E327" s="46">
        <f aca="true" t="shared" si="51" ref="E327:E336">F327+G327+J327+K327</f>
        <v>200580.416</v>
      </c>
      <c r="F327" s="46">
        <f>F328+F329+F330+F332+F333+F334+F335</f>
        <v>124615.2</v>
      </c>
      <c r="G327" s="24">
        <f>H327+I327</f>
        <v>727</v>
      </c>
      <c r="H327" s="24">
        <f>H328+H329+H330+H332+H333+H334+H335</f>
        <v>0</v>
      </c>
      <c r="I327" s="24">
        <f>I328+I329+I330+I332+I333+I334+I335</f>
        <v>727</v>
      </c>
      <c r="J327" s="24">
        <f>J328+J329+J330+J332+J333+J334+J335</f>
        <v>75238.216</v>
      </c>
      <c r="K327" s="24">
        <f>K328+K329+K330+K332+K333+K334+K335</f>
        <v>0</v>
      </c>
      <c r="L327" s="8"/>
      <c r="M327" s="337" t="s">
        <v>69</v>
      </c>
    </row>
    <row r="328" spans="1:13" s="75" customFormat="1" ht="27" customHeight="1">
      <c r="A328" s="300"/>
      <c r="B328" s="303"/>
      <c r="C328" s="304"/>
      <c r="D328" s="52"/>
      <c r="E328" s="46">
        <f t="shared" si="51"/>
        <v>64776.86</v>
      </c>
      <c r="F328" s="21">
        <v>54731.8</v>
      </c>
      <c r="G328" s="26">
        <f>H328+I328</f>
        <v>0</v>
      </c>
      <c r="H328" s="21"/>
      <c r="I328" s="21"/>
      <c r="J328" s="21">
        <v>10045.06</v>
      </c>
      <c r="K328" s="22">
        <v>0</v>
      </c>
      <c r="L328" s="3" t="s">
        <v>10</v>
      </c>
      <c r="M328" s="337"/>
    </row>
    <row r="329" spans="1:13" s="75" customFormat="1" ht="27" customHeight="1">
      <c r="A329" s="300"/>
      <c r="B329" s="303"/>
      <c r="C329" s="304"/>
      <c r="D329" s="7"/>
      <c r="E329" s="46">
        <f t="shared" si="51"/>
        <v>20018.813</v>
      </c>
      <c r="F329" s="21"/>
      <c r="G329" s="26">
        <f aca="true" t="shared" si="52" ref="G329:G335">H329+I329</f>
        <v>0</v>
      </c>
      <c r="H329" s="21"/>
      <c r="I329" s="21"/>
      <c r="J329" s="21">
        <v>20018.813</v>
      </c>
      <c r="K329" s="22">
        <v>0</v>
      </c>
      <c r="L329" s="3" t="s">
        <v>33</v>
      </c>
      <c r="M329" s="337"/>
    </row>
    <row r="330" spans="1:13" s="75" customFormat="1" ht="27" customHeight="1">
      <c r="A330" s="300"/>
      <c r="B330" s="303"/>
      <c r="C330" s="304"/>
      <c r="D330" s="7"/>
      <c r="E330" s="46">
        <f t="shared" si="51"/>
        <v>13226.366</v>
      </c>
      <c r="F330" s="21"/>
      <c r="G330" s="26">
        <f t="shared" si="52"/>
        <v>0</v>
      </c>
      <c r="H330" s="21"/>
      <c r="I330" s="21"/>
      <c r="J330" s="21">
        <v>13226.366</v>
      </c>
      <c r="K330" s="22">
        <v>0</v>
      </c>
      <c r="L330" s="3" t="s">
        <v>34</v>
      </c>
      <c r="M330" s="337"/>
    </row>
    <row r="331" spans="1:13" s="75" customFormat="1" ht="27" customHeight="1">
      <c r="A331" s="300"/>
      <c r="B331" s="303"/>
      <c r="C331" s="304"/>
      <c r="D331" s="7"/>
      <c r="E331" s="46"/>
      <c r="F331" s="21"/>
      <c r="G331" s="26"/>
      <c r="H331" s="21"/>
      <c r="I331" s="21"/>
      <c r="J331" s="21"/>
      <c r="K331" s="22"/>
      <c r="L331" s="3"/>
      <c r="M331" s="337"/>
    </row>
    <row r="332" spans="1:13" s="75" customFormat="1" ht="27" customHeight="1">
      <c r="A332" s="300"/>
      <c r="B332" s="303"/>
      <c r="C332" s="304"/>
      <c r="D332" s="7"/>
      <c r="E332" s="46">
        <f t="shared" si="51"/>
        <v>77631.458</v>
      </c>
      <c r="F332" s="21">
        <v>69883.4</v>
      </c>
      <c r="G332" s="26">
        <f t="shared" si="52"/>
        <v>0</v>
      </c>
      <c r="H332" s="21"/>
      <c r="I332" s="21"/>
      <c r="J332" s="21">
        <v>7748.058</v>
      </c>
      <c r="K332" s="22">
        <v>0</v>
      </c>
      <c r="L332" s="3" t="s">
        <v>35</v>
      </c>
      <c r="M332" s="337"/>
    </row>
    <row r="333" spans="1:13" s="75" customFormat="1" ht="29.25" customHeight="1">
      <c r="A333" s="300"/>
      <c r="B333" s="303"/>
      <c r="C333" s="304"/>
      <c r="D333" s="7"/>
      <c r="E333" s="46">
        <f t="shared" si="51"/>
        <v>8225.922</v>
      </c>
      <c r="F333" s="9"/>
      <c r="G333" s="26">
        <f t="shared" si="52"/>
        <v>0</v>
      </c>
      <c r="H333" s="21"/>
      <c r="I333" s="21"/>
      <c r="J333" s="21">
        <v>8225.922</v>
      </c>
      <c r="K333" s="22">
        <v>0</v>
      </c>
      <c r="L333" s="3" t="s">
        <v>21</v>
      </c>
      <c r="M333" s="337"/>
    </row>
    <row r="334" spans="1:13" s="75" customFormat="1" ht="32.25" customHeight="1">
      <c r="A334" s="300"/>
      <c r="B334" s="303"/>
      <c r="C334" s="304"/>
      <c r="D334" s="7"/>
      <c r="E334" s="46">
        <f t="shared" si="51"/>
        <v>11386.085</v>
      </c>
      <c r="F334" s="9"/>
      <c r="G334" s="26">
        <f t="shared" si="52"/>
        <v>0</v>
      </c>
      <c r="H334" s="21"/>
      <c r="I334" s="21"/>
      <c r="J334" s="21">
        <v>11386.085</v>
      </c>
      <c r="K334" s="22">
        <v>0</v>
      </c>
      <c r="L334" s="3" t="s">
        <v>36</v>
      </c>
      <c r="M334" s="337"/>
    </row>
    <row r="335" spans="1:13" s="75" customFormat="1" ht="41.25" customHeight="1">
      <c r="A335" s="300"/>
      <c r="B335" s="303"/>
      <c r="C335" s="304"/>
      <c r="D335" s="7"/>
      <c r="E335" s="46">
        <f t="shared" si="51"/>
        <v>5314.912</v>
      </c>
      <c r="F335" s="9"/>
      <c r="G335" s="26">
        <f t="shared" si="52"/>
        <v>727</v>
      </c>
      <c r="H335" s="21">
        <v>0</v>
      </c>
      <c r="I335" s="21">
        <v>727</v>
      </c>
      <c r="J335" s="21">
        <f>5287.912-700</f>
        <v>4587.912</v>
      </c>
      <c r="K335" s="22">
        <v>0</v>
      </c>
      <c r="L335" s="3" t="s">
        <v>39</v>
      </c>
      <c r="M335" s="337"/>
    </row>
    <row r="336" spans="1:13" s="75" customFormat="1" ht="69" customHeight="1">
      <c r="A336" s="300"/>
      <c r="B336" s="305"/>
      <c r="C336" s="306"/>
      <c r="D336" s="7">
        <v>2017</v>
      </c>
      <c r="E336" s="46">
        <f t="shared" si="51"/>
        <v>16200</v>
      </c>
      <c r="F336" s="47"/>
      <c r="G336" s="47">
        <f>H336+I336</f>
        <v>0</v>
      </c>
      <c r="H336" s="47">
        <v>0</v>
      </c>
      <c r="I336" s="47">
        <v>0</v>
      </c>
      <c r="J336" s="47">
        <v>16200</v>
      </c>
      <c r="K336" s="47">
        <v>0</v>
      </c>
      <c r="L336" s="3" t="s">
        <v>43</v>
      </c>
      <c r="M336" s="337"/>
    </row>
    <row r="337" spans="1:13" s="75" customFormat="1" ht="27" customHeight="1" hidden="1" thickBot="1">
      <c r="A337" s="80"/>
      <c r="B337" s="48"/>
      <c r="C337" s="48"/>
      <c r="D337" s="7"/>
      <c r="E337" s="46">
        <f>F337+G337+J337+K337</f>
        <v>0</v>
      </c>
      <c r="F337" s="47"/>
      <c r="G337" s="47"/>
      <c r="H337" s="47"/>
      <c r="I337" s="47"/>
      <c r="J337" s="21"/>
      <c r="K337" s="21"/>
      <c r="L337" s="3"/>
      <c r="M337" s="337"/>
    </row>
    <row r="338" spans="1:13" s="75" customFormat="1" ht="24.75" customHeight="1">
      <c r="A338" s="300" t="s">
        <v>91</v>
      </c>
      <c r="B338" s="355" t="s">
        <v>92</v>
      </c>
      <c r="C338" s="356"/>
      <c r="D338" s="361">
        <v>2018</v>
      </c>
      <c r="E338" s="46">
        <f>F338+G338+J338+K338</f>
        <v>209116.99978</v>
      </c>
      <c r="F338" s="46">
        <f>SUM(F339:F345)</f>
        <v>137344.5</v>
      </c>
      <c r="G338" s="46">
        <f>H338+I338</f>
        <v>1006.9820000000001</v>
      </c>
      <c r="H338" s="46">
        <f>H339+H340+H341+H342+H343+H344+H345</f>
        <v>0</v>
      </c>
      <c r="I338" s="46">
        <f>SUM(I339:I345)</f>
        <v>1006.9820000000001</v>
      </c>
      <c r="J338" s="46">
        <f>J339+J340+J341+J342+J343+J344+J345</f>
        <v>70765.51778000001</v>
      </c>
      <c r="K338" s="47">
        <v>0</v>
      </c>
      <c r="L338" s="3"/>
      <c r="M338" s="337"/>
    </row>
    <row r="339" spans="1:13" s="75" customFormat="1" ht="24.75" customHeight="1">
      <c r="A339" s="300"/>
      <c r="B339" s="357"/>
      <c r="C339" s="358"/>
      <c r="D339" s="361"/>
      <c r="E339" s="46">
        <f aca="true" t="shared" si="53" ref="E339:E351">F339+G339+J339+K339</f>
        <v>23993.106</v>
      </c>
      <c r="F339" s="9">
        <f>13666.243+401.723+232.4</f>
        <v>14300.366</v>
      </c>
      <c r="G339" s="46">
        <f>H339+I339</f>
        <v>0</v>
      </c>
      <c r="H339" s="9"/>
      <c r="I339" s="53"/>
      <c r="J339" s="9">
        <f>9852.084+390.21-2100+341.676+175.77+33+1000</f>
        <v>9692.74</v>
      </c>
      <c r="K339" s="21">
        <v>0</v>
      </c>
      <c r="L339" s="3" t="s">
        <v>10</v>
      </c>
      <c r="M339" s="337"/>
    </row>
    <row r="340" spans="1:13" s="75" customFormat="1" ht="24.75" customHeight="1">
      <c r="A340" s="300"/>
      <c r="B340" s="357"/>
      <c r="C340" s="358"/>
      <c r="D340" s="361"/>
      <c r="E340" s="46">
        <f t="shared" si="53"/>
        <v>50093.08377</v>
      </c>
      <c r="F340" s="9">
        <f>29992.565+858.854</f>
        <v>30851.418999999998</v>
      </c>
      <c r="G340" s="46">
        <f aca="true" t="shared" si="54" ref="G340:G345">H340+I340</f>
        <v>0</v>
      </c>
      <c r="H340" s="9"/>
      <c r="I340" s="53"/>
      <c r="J340" s="9">
        <f>20130.966+919.02-4300+766.8+389.718+170+1165.16077</f>
        <v>19241.66477</v>
      </c>
      <c r="K340" s="21">
        <v>0</v>
      </c>
      <c r="L340" s="3" t="s">
        <v>33</v>
      </c>
      <c r="M340" s="337"/>
    </row>
    <row r="341" spans="1:13" s="75" customFormat="1" ht="24.75" customHeight="1">
      <c r="A341" s="300"/>
      <c r="B341" s="357"/>
      <c r="C341" s="358"/>
      <c r="D341" s="361"/>
      <c r="E341" s="46">
        <f t="shared" si="53"/>
        <v>28049.476</v>
      </c>
      <c r="F341" s="9">
        <f>14985.192+401.723</f>
        <v>15386.914999999999</v>
      </c>
      <c r="G341" s="46">
        <f t="shared" si="54"/>
        <v>0</v>
      </c>
      <c r="H341" s="9"/>
      <c r="I341" s="53"/>
      <c r="J341" s="9">
        <f>13529.638+429.793-2900+367.83+195.3+40+1000</f>
        <v>12662.561</v>
      </c>
      <c r="K341" s="21">
        <v>0</v>
      </c>
      <c r="L341" s="3" t="s">
        <v>34</v>
      </c>
      <c r="M341" s="337"/>
    </row>
    <row r="342" spans="1:13" s="75" customFormat="1" ht="24.75" customHeight="1">
      <c r="A342" s="300"/>
      <c r="B342" s="357"/>
      <c r="C342" s="358"/>
      <c r="D342" s="361"/>
      <c r="E342" s="46">
        <f t="shared" si="53"/>
        <v>42507.873999999996</v>
      </c>
      <c r="F342" s="9">
        <f>30680.494+2764.647+1578.681</f>
        <v>35023.82199999999</v>
      </c>
      <c r="G342" s="46">
        <f t="shared" si="54"/>
        <v>0</v>
      </c>
      <c r="H342" s="9"/>
      <c r="I342" s="53"/>
      <c r="J342" s="9">
        <f>8048.81-1700+345.242-210+1000</f>
        <v>7484.052000000001</v>
      </c>
      <c r="K342" s="21">
        <v>0</v>
      </c>
      <c r="L342" s="3" t="s">
        <v>35</v>
      </c>
      <c r="M342" s="337"/>
    </row>
    <row r="343" spans="1:13" s="75" customFormat="1" ht="24.75" customHeight="1">
      <c r="A343" s="300"/>
      <c r="B343" s="357"/>
      <c r="C343" s="358"/>
      <c r="D343" s="361"/>
      <c r="E343" s="46">
        <f t="shared" si="53"/>
        <v>50010.63799999999</v>
      </c>
      <c r="F343" s="9">
        <f>39719.506+177.753+1884.719</f>
        <v>41781.977999999996</v>
      </c>
      <c r="G343" s="46">
        <f t="shared" si="54"/>
        <v>0</v>
      </c>
      <c r="H343" s="9"/>
      <c r="I343" s="53"/>
      <c r="J343" s="9">
        <f>8631.55-1800+397.11+1000</f>
        <v>8228.66</v>
      </c>
      <c r="K343" s="21">
        <v>0</v>
      </c>
      <c r="L343" s="3" t="s">
        <v>21</v>
      </c>
      <c r="M343" s="337"/>
    </row>
    <row r="344" spans="1:13" s="75" customFormat="1" ht="24.75" customHeight="1">
      <c r="A344" s="300"/>
      <c r="B344" s="357"/>
      <c r="C344" s="358"/>
      <c r="D344" s="361"/>
      <c r="E344" s="46">
        <f t="shared" si="53"/>
        <v>9699.46648</v>
      </c>
      <c r="F344" s="46"/>
      <c r="G344" s="46">
        <f t="shared" si="54"/>
        <v>1006.9820000000001</v>
      </c>
      <c r="H344" s="9">
        <v>0</v>
      </c>
      <c r="I344" s="9">
        <f>607.273+227.345+172.364</f>
        <v>1006.9820000000001</v>
      </c>
      <c r="J344" s="9">
        <f>10509.141+105.556-2200-617.733+133+762.52048</f>
        <v>8692.48448</v>
      </c>
      <c r="K344" s="21">
        <v>0</v>
      </c>
      <c r="L344" s="3" t="s">
        <v>36</v>
      </c>
      <c r="M344" s="337"/>
    </row>
    <row r="345" spans="1:13" s="75" customFormat="1" ht="35.25" customHeight="1">
      <c r="A345" s="300"/>
      <c r="B345" s="357"/>
      <c r="C345" s="358"/>
      <c r="D345" s="361"/>
      <c r="E345" s="46">
        <f t="shared" si="53"/>
        <v>4763.355530000001</v>
      </c>
      <c r="F345" s="46"/>
      <c r="G345" s="46">
        <f t="shared" si="54"/>
        <v>0</v>
      </c>
      <c r="H345" s="9"/>
      <c r="I345" s="9">
        <v>0</v>
      </c>
      <c r="J345" s="9">
        <f>4700.622+104.16-92.24918+50.82271</f>
        <v>4763.355530000001</v>
      </c>
      <c r="K345" s="21">
        <v>0</v>
      </c>
      <c r="L345" s="3" t="s">
        <v>58</v>
      </c>
      <c r="M345" s="337"/>
    </row>
    <row r="346" spans="1:13" s="75" customFormat="1" ht="24.75" customHeight="1">
      <c r="A346" s="300"/>
      <c r="B346" s="357"/>
      <c r="C346" s="358"/>
      <c r="D346" s="361">
        <v>2018</v>
      </c>
      <c r="E346" s="46">
        <f t="shared" si="53"/>
        <v>0</v>
      </c>
      <c r="F346" s="46">
        <f>SUM(F347:F351)</f>
        <v>0</v>
      </c>
      <c r="G346" s="46">
        <f>SUM(G347:G351)</f>
        <v>0</v>
      </c>
      <c r="H346" s="46">
        <f>SUM(H347:H351)</f>
        <v>0</v>
      </c>
      <c r="I346" s="46">
        <f>SUM(I347:I351)</f>
        <v>0</v>
      </c>
      <c r="J346" s="46">
        <f>SUM(J347:J351)</f>
        <v>0</v>
      </c>
      <c r="K346" s="47"/>
      <c r="L346" s="38"/>
      <c r="M346" s="337"/>
    </row>
    <row r="347" spans="1:13" s="75" customFormat="1" ht="24.75" customHeight="1">
      <c r="A347" s="300"/>
      <c r="B347" s="357"/>
      <c r="C347" s="358"/>
      <c r="D347" s="361"/>
      <c r="E347" s="46">
        <f t="shared" si="53"/>
        <v>0</v>
      </c>
      <c r="F347" s="20"/>
      <c r="G347" s="46">
        <f aca="true" t="shared" si="55" ref="G347:G361">H347+I347</f>
        <v>0</v>
      </c>
      <c r="H347" s="9"/>
      <c r="I347" s="9"/>
      <c r="J347" s="9">
        <v>0</v>
      </c>
      <c r="K347" s="21"/>
      <c r="L347" s="3" t="s">
        <v>10</v>
      </c>
      <c r="M347" s="337"/>
    </row>
    <row r="348" spans="1:13" s="75" customFormat="1" ht="24.75" customHeight="1">
      <c r="A348" s="300"/>
      <c r="B348" s="357"/>
      <c r="C348" s="358"/>
      <c r="D348" s="361"/>
      <c r="E348" s="46">
        <f t="shared" si="53"/>
        <v>0</v>
      </c>
      <c r="F348" s="20"/>
      <c r="G348" s="46">
        <f t="shared" si="55"/>
        <v>0</v>
      </c>
      <c r="H348" s="9"/>
      <c r="I348" s="9"/>
      <c r="J348" s="9">
        <v>0</v>
      </c>
      <c r="K348" s="21"/>
      <c r="L348" s="3" t="s">
        <v>33</v>
      </c>
      <c r="M348" s="337"/>
    </row>
    <row r="349" spans="1:13" s="75" customFormat="1" ht="24.75" customHeight="1">
      <c r="A349" s="300"/>
      <c r="B349" s="357"/>
      <c r="C349" s="358"/>
      <c r="D349" s="361"/>
      <c r="E349" s="46">
        <f t="shared" si="53"/>
        <v>0</v>
      </c>
      <c r="F349" s="20"/>
      <c r="G349" s="46">
        <f t="shared" si="55"/>
        <v>0</v>
      </c>
      <c r="H349" s="9"/>
      <c r="I349" s="9"/>
      <c r="J349" s="9">
        <v>0</v>
      </c>
      <c r="K349" s="21"/>
      <c r="L349" s="3" t="s">
        <v>34</v>
      </c>
      <c r="M349" s="337"/>
    </row>
    <row r="350" spans="1:13" s="75" customFormat="1" ht="24.75" customHeight="1">
      <c r="A350" s="300"/>
      <c r="B350" s="357"/>
      <c r="C350" s="358"/>
      <c r="D350" s="361"/>
      <c r="E350" s="46">
        <f t="shared" si="53"/>
        <v>0</v>
      </c>
      <c r="F350" s="20"/>
      <c r="G350" s="46">
        <f t="shared" si="55"/>
        <v>0</v>
      </c>
      <c r="H350" s="9"/>
      <c r="I350" s="9"/>
      <c r="J350" s="9">
        <v>0</v>
      </c>
      <c r="K350" s="21"/>
      <c r="L350" s="3" t="s">
        <v>35</v>
      </c>
      <c r="M350" s="337"/>
    </row>
    <row r="351" spans="1:13" s="75" customFormat="1" ht="24.75" customHeight="1">
      <c r="A351" s="300"/>
      <c r="B351" s="357"/>
      <c r="C351" s="358"/>
      <c r="D351" s="361"/>
      <c r="E351" s="46">
        <f t="shared" si="53"/>
        <v>0</v>
      </c>
      <c r="F351" s="20"/>
      <c r="G351" s="46">
        <f t="shared" si="55"/>
        <v>0</v>
      </c>
      <c r="H351" s="9"/>
      <c r="I351" s="9"/>
      <c r="J351" s="9">
        <v>0</v>
      </c>
      <c r="K351" s="21"/>
      <c r="L351" s="3" t="s">
        <v>21</v>
      </c>
      <c r="M351" s="337"/>
    </row>
    <row r="352" spans="1:13" s="75" customFormat="1" ht="24.75" customHeight="1">
      <c r="A352" s="300"/>
      <c r="B352" s="357"/>
      <c r="C352" s="358"/>
      <c r="D352" s="361">
        <v>2019</v>
      </c>
      <c r="E352" s="47">
        <f>F352+G352+J352+K352</f>
        <v>229770.53044</v>
      </c>
      <c r="F352" s="47">
        <f>SUM(F353:F361)</f>
        <v>150533.8</v>
      </c>
      <c r="G352" s="47">
        <f t="shared" si="55"/>
        <v>1276.052</v>
      </c>
      <c r="H352" s="47">
        <f>H353+H354+H355+H356+H357+H359+H361</f>
        <v>0</v>
      </c>
      <c r="I352" s="47">
        <f>I353+I354+I355+I356+I357+I359+I361</f>
        <v>1276.052</v>
      </c>
      <c r="J352" s="47">
        <f>SUM(J353:J361)</f>
        <v>77960.67844000002</v>
      </c>
      <c r="K352" s="47">
        <f>SUM(K353:K361)</f>
        <v>0</v>
      </c>
      <c r="L352" s="3"/>
      <c r="M352" s="337"/>
    </row>
    <row r="353" spans="1:13" s="75" customFormat="1" ht="24.75" customHeight="1">
      <c r="A353" s="300"/>
      <c r="B353" s="357"/>
      <c r="C353" s="358"/>
      <c r="D353" s="361"/>
      <c r="E353" s="21">
        <f aca="true" t="shared" si="56" ref="E353:E371">F353+G353+J353+K353</f>
        <v>24241.684</v>
      </c>
      <c r="F353" s="21">
        <f>13252.661+1120.6</f>
        <v>14373.261</v>
      </c>
      <c r="G353" s="21">
        <f t="shared" si="55"/>
        <v>0</v>
      </c>
      <c r="H353" s="21"/>
      <c r="I353" s="21"/>
      <c r="J353" s="21">
        <f>9770.96256+1.65244--30+65.808</f>
        <v>9868.423</v>
      </c>
      <c r="K353" s="21">
        <v>0</v>
      </c>
      <c r="L353" s="3" t="s">
        <v>10</v>
      </c>
      <c r="M353" s="337"/>
    </row>
    <row r="354" spans="1:13" s="75" customFormat="1" ht="24.75" customHeight="1">
      <c r="A354" s="300"/>
      <c r="B354" s="357"/>
      <c r="C354" s="358"/>
      <c r="D354" s="361"/>
      <c r="E354" s="21">
        <f t="shared" si="56"/>
        <v>49871.14725</v>
      </c>
      <c r="F354" s="21">
        <f>29522.977-533.6</f>
        <v>28989.377</v>
      </c>
      <c r="G354" s="21">
        <f t="shared" si="55"/>
        <v>0</v>
      </c>
      <c r="H354" s="21"/>
      <c r="I354" s="21"/>
      <c r="J354" s="21">
        <f>20596.83525-30+314.935</f>
        <v>20881.77025</v>
      </c>
      <c r="K354" s="21">
        <v>0</v>
      </c>
      <c r="L354" s="3" t="s">
        <v>33</v>
      </c>
      <c r="M354" s="337"/>
    </row>
    <row r="355" spans="1:13" s="75" customFormat="1" ht="24.75" customHeight="1">
      <c r="A355" s="300"/>
      <c r="B355" s="357"/>
      <c r="C355" s="358"/>
      <c r="D355" s="361"/>
      <c r="E355" s="21">
        <f t="shared" si="56"/>
        <v>29872.57956</v>
      </c>
      <c r="F355" s="21">
        <f>15424.362+117.4</f>
        <v>15541.761999999999</v>
      </c>
      <c r="G355" s="21">
        <f t="shared" si="55"/>
        <v>0</v>
      </c>
      <c r="H355" s="21"/>
      <c r="I355" s="21"/>
      <c r="J355" s="21">
        <f>12530.84+998.142-1.65244+803.488</f>
        <v>14330.81756</v>
      </c>
      <c r="K355" s="21">
        <v>0</v>
      </c>
      <c r="L355" s="3" t="s">
        <v>34</v>
      </c>
      <c r="M355" s="337"/>
    </row>
    <row r="356" spans="1:13" s="75" customFormat="1" ht="24.75" customHeight="1">
      <c r="A356" s="300"/>
      <c r="B356" s="357"/>
      <c r="C356" s="358"/>
      <c r="D356" s="361"/>
      <c r="E356" s="21">
        <f t="shared" si="56"/>
        <v>49171.80562000001</v>
      </c>
      <c r="F356" s="21">
        <f>39746.014+486.427+1812.116</f>
        <v>42044.55700000001</v>
      </c>
      <c r="G356" s="21">
        <f t="shared" si="55"/>
        <v>0</v>
      </c>
      <c r="H356" s="21"/>
      <c r="I356" s="21"/>
      <c r="J356" s="21">
        <f>6993.76062+133.488</f>
        <v>7127.24862</v>
      </c>
      <c r="K356" s="21">
        <v>0</v>
      </c>
      <c r="L356" s="3" t="s">
        <v>35</v>
      </c>
      <c r="M356" s="337"/>
    </row>
    <row r="357" spans="1:13" s="75" customFormat="1" ht="24.75" customHeight="1">
      <c r="A357" s="300"/>
      <c r="B357" s="357"/>
      <c r="C357" s="358"/>
      <c r="D357" s="361"/>
      <c r="E357" s="21">
        <f t="shared" si="56"/>
        <v>57432.95017</v>
      </c>
      <c r="F357" s="21">
        <f>46911.986+528.073+2144.784</f>
        <v>49584.84299999999</v>
      </c>
      <c r="G357" s="21">
        <f t="shared" si="55"/>
        <v>0</v>
      </c>
      <c r="H357" s="21"/>
      <c r="I357" s="21"/>
      <c r="J357" s="21">
        <f>7595.99717+252.11</f>
        <v>7848.107169999999</v>
      </c>
      <c r="K357" s="21">
        <v>0</v>
      </c>
      <c r="L357" s="3" t="s">
        <v>21</v>
      </c>
      <c r="M357" s="337"/>
    </row>
    <row r="358" spans="1:13" s="75" customFormat="1" ht="24.75" customHeight="1">
      <c r="A358" s="300"/>
      <c r="B358" s="357"/>
      <c r="C358" s="358"/>
      <c r="D358" s="361"/>
      <c r="E358" s="21">
        <f t="shared" si="56"/>
        <v>5966.100090000001</v>
      </c>
      <c r="F358" s="21">
        <v>0</v>
      </c>
      <c r="G358" s="21">
        <f t="shared" si="55"/>
        <v>0</v>
      </c>
      <c r="H358" s="21"/>
      <c r="I358" s="21"/>
      <c r="J358" s="21">
        <f>4712.3+667.168+264.33597+127.27612+136.43+58.59</f>
        <v>5966.100090000001</v>
      </c>
      <c r="K358" s="21">
        <v>0</v>
      </c>
      <c r="L358" s="3" t="s">
        <v>158</v>
      </c>
      <c r="M358" s="337"/>
    </row>
    <row r="359" spans="1:13" s="75" customFormat="1" ht="24.75" customHeight="1">
      <c r="A359" s="300"/>
      <c r="B359" s="357"/>
      <c r="C359" s="358"/>
      <c r="D359" s="361"/>
      <c r="E359" s="21">
        <f t="shared" si="56"/>
        <v>5395.09146</v>
      </c>
      <c r="F359" s="21">
        <v>0</v>
      </c>
      <c r="G359" s="21">
        <f t="shared" si="55"/>
        <v>0</v>
      </c>
      <c r="H359" s="21"/>
      <c r="I359" s="21"/>
      <c r="J359" s="21">
        <f>5746.63146-351.54</f>
        <v>5395.09146</v>
      </c>
      <c r="K359" s="21">
        <v>0</v>
      </c>
      <c r="L359" s="3" t="s">
        <v>157</v>
      </c>
      <c r="M359" s="337"/>
    </row>
    <row r="360" spans="1:13" s="75" customFormat="1" ht="24.75" customHeight="1">
      <c r="A360" s="300"/>
      <c r="B360" s="357"/>
      <c r="C360" s="358"/>
      <c r="D360" s="361"/>
      <c r="E360" s="21">
        <f t="shared" si="56"/>
        <v>59.5</v>
      </c>
      <c r="F360" s="21">
        <v>0</v>
      </c>
      <c r="G360" s="21">
        <f t="shared" si="55"/>
        <v>0</v>
      </c>
      <c r="H360" s="21"/>
      <c r="I360" s="21"/>
      <c r="J360" s="21">
        <v>59.5</v>
      </c>
      <c r="K360" s="21">
        <v>0</v>
      </c>
      <c r="L360" s="3" t="s">
        <v>215</v>
      </c>
      <c r="M360" s="337"/>
    </row>
    <row r="361" spans="1:13" s="75" customFormat="1" ht="43.5" customHeight="1">
      <c r="A361" s="300"/>
      <c r="B361" s="357"/>
      <c r="C361" s="358"/>
      <c r="D361" s="361"/>
      <c r="E361" s="21">
        <f t="shared" si="56"/>
        <v>7759.672289999999</v>
      </c>
      <c r="F361" s="21">
        <v>0</v>
      </c>
      <c r="G361" s="21">
        <f t="shared" si="55"/>
        <v>1276.052</v>
      </c>
      <c r="H361" s="21"/>
      <c r="I361" s="21">
        <f>1139.636+136.416</f>
        <v>1276.052</v>
      </c>
      <c r="J361" s="21">
        <f>5849.69929-59.5+585.9+107.521</f>
        <v>6483.620289999999</v>
      </c>
      <c r="K361" s="21">
        <v>0</v>
      </c>
      <c r="L361" s="3" t="s">
        <v>58</v>
      </c>
      <c r="M361" s="337"/>
    </row>
    <row r="362" spans="1:13" s="75" customFormat="1" ht="27" customHeight="1">
      <c r="A362" s="300"/>
      <c r="B362" s="357"/>
      <c r="C362" s="358"/>
      <c r="D362" s="361">
        <v>2020</v>
      </c>
      <c r="E362" s="47">
        <f t="shared" si="56"/>
        <v>234027.06550000003</v>
      </c>
      <c r="F362" s="47">
        <f aca="true" t="shared" si="57" ref="F362:K362">SUM(F363:F371)</f>
        <v>149607</v>
      </c>
      <c r="G362" s="47">
        <f t="shared" si="57"/>
        <v>1271</v>
      </c>
      <c r="H362" s="47">
        <f t="shared" si="57"/>
        <v>0</v>
      </c>
      <c r="I362" s="47">
        <f t="shared" si="57"/>
        <v>1271</v>
      </c>
      <c r="J362" s="47">
        <f t="shared" si="57"/>
        <v>83149.06550000001</v>
      </c>
      <c r="K362" s="47">
        <f t="shared" si="57"/>
        <v>0</v>
      </c>
      <c r="L362" s="3"/>
      <c r="M362" s="337"/>
    </row>
    <row r="363" spans="1:13" s="75" customFormat="1" ht="27" customHeight="1">
      <c r="A363" s="300"/>
      <c r="B363" s="357"/>
      <c r="C363" s="358"/>
      <c r="D363" s="361"/>
      <c r="E363" s="47">
        <f t="shared" si="56"/>
        <v>24429.962</v>
      </c>
      <c r="F363" s="21">
        <f>14700-1292.529</f>
        <v>13407.471</v>
      </c>
      <c r="G363" s="21">
        <f>H363+I363</f>
        <v>0</v>
      </c>
      <c r="H363" s="21"/>
      <c r="I363" s="21"/>
      <c r="J363" s="21">
        <f>10684.932+359.399-21.84</f>
        <v>11022.491</v>
      </c>
      <c r="K363" s="21">
        <v>0</v>
      </c>
      <c r="L363" s="3" t="s">
        <v>10</v>
      </c>
      <c r="M363" s="337"/>
    </row>
    <row r="364" spans="1:13" s="75" customFormat="1" ht="27" customHeight="1">
      <c r="A364" s="300"/>
      <c r="B364" s="357"/>
      <c r="C364" s="358"/>
      <c r="D364" s="361"/>
      <c r="E364" s="47">
        <f t="shared" si="56"/>
        <v>52680.349</v>
      </c>
      <c r="F364" s="21">
        <f>30246-286.376</f>
        <v>29959.624</v>
      </c>
      <c r="G364" s="21">
        <f aca="true" t="shared" si="58" ref="G364:G371">H364+I364</f>
        <v>0</v>
      </c>
      <c r="H364" s="21"/>
      <c r="I364" s="21"/>
      <c r="J364" s="21">
        <f>21928.883+791.842</f>
        <v>22720.725000000002</v>
      </c>
      <c r="K364" s="21">
        <v>0</v>
      </c>
      <c r="L364" s="3" t="s">
        <v>33</v>
      </c>
      <c r="M364" s="337"/>
    </row>
    <row r="365" spans="1:13" s="75" customFormat="1" ht="27" customHeight="1">
      <c r="A365" s="300"/>
      <c r="B365" s="357"/>
      <c r="C365" s="358"/>
      <c r="D365" s="361"/>
      <c r="E365" s="47">
        <f t="shared" si="56"/>
        <v>30302.429</v>
      </c>
      <c r="F365" s="21">
        <f>16200-1075.066</f>
        <v>15124.934</v>
      </c>
      <c r="G365" s="21">
        <f t="shared" si="58"/>
        <v>0</v>
      </c>
      <c r="H365" s="21"/>
      <c r="I365" s="21"/>
      <c r="J365" s="21">
        <f>14792.02+385.475</f>
        <v>15177.495</v>
      </c>
      <c r="K365" s="21">
        <v>0</v>
      </c>
      <c r="L365" s="3" t="s">
        <v>34</v>
      </c>
      <c r="M365" s="337"/>
    </row>
    <row r="366" spans="1:13" s="75" customFormat="1" ht="27" customHeight="1">
      <c r="A366" s="300"/>
      <c r="B366" s="357"/>
      <c r="C366" s="358"/>
      <c r="D366" s="361"/>
      <c r="E366" s="47">
        <f t="shared" si="56"/>
        <v>50978.32</v>
      </c>
      <c r="F366" s="21">
        <f>40601+2420.539</f>
        <v>43021.539</v>
      </c>
      <c r="G366" s="21">
        <f t="shared" si="58"/>
        <v>0</v>
      </c>
      <c r="H366" s="21"/>
      <c r="I366" s="21"/>
      <c r="J366" s="21">
        <f>7875.425+81.356</f>
        <v>7956.781</v>
      </c>
      <c r="K366" s="21">
        <v>0</v>
      </c>
      <c r="L366" s="3" t="s">
        <v>35</v>
      </c>
      <c r="M366" s="337"/>
    </row>
    <row r="367" spans="1:13" s="75" customFormat="1" ht="27" customHeight="1">
      <c r="A367" s="300"/>
      <c r="B367" s="357"/>
      <c r="C367" s="358"/>
      <c r="D367" s="361"/>
      <c r="E367" s="47">
        <f t="shared" si="56"/>
        <v>56709.962</v>
      </c>
      <c r="F367" s="21">
        <f>47860+233.432</f>
        <v>48093.432</v>
      </c>
      <c r="G367" s="21">
        <f t="shared" si="58"/>
        <v>0</v>
      </c>
      <c r="H367" s="21"/>
      <c r="I367" s="21"/>
      <c r="J367" s="21">
        <f>8506.19+110.34</f>
        <v>8616.53</v>
      </c>
      <c r="K367" s="21">
        <v>0</v>
      </c>
      <c r="L367" s="3" t="s">
        <v>21</v>
      </c>
      <c r="M367" s="337"/>
    </row>
    <row r="368" spans="1:13" s="75" customFormat="1" ht="27" customHeight="1">
      <c r="A368" s="300"/>
      <c r="B368" s="357"/>
      <c r="C368" s="358"/>
      <c r="D368" s="361"/>
      <c r="E368" s="47">
        <f t="shared" si="56"/>
        <v>5710.81</v>
      </c>
      <c r="F368" s="21">
        <v>0</v>
      </c>
      <c r="G368" s="21">
        <f t="shared" si="58"/>
        <v>0</v>
      </c>
      <c r="H368" s="21"/>
      <c r="I368" s="21"/>
      <c r="J368" s="21">
        <v>5710.81</v>
      </c>
      <c r="K368" s="21">
        <v>0</v>
      </c>
      <c r="L368" s="3" t="s">
        <v>212</v>
      </c>
      <c r="M368" s="337"/>
    </row>
    <row r="369" spans="1:13" s="75" customFormat="1" ht="27" customHeight="1">
      <c r="A369" s="300"/>
      <c r="B369" s="357"/>
      <c r="C369" s="358"/>
      <c r="D369" s="361"/>
      <c r="E369" s="47">
        <f t="shared" si="56"/>
        <v>5709.542</v>
      </c>
      <c r="F369" s="21">
        <v>0</v>
      </c>
      <c r="G369" s="21">
        <v>0</v>
      </c>
      <c r="H369" s="21"/>
      <c r="I369" s="21"/>
      <c r="J369" s="21">
        <v>5709.542</v>
      </c>
      <c r="K369" s="21"/>
      <c r="L369" s="3" t="s">
        <v>157</v>
      </c>
      <c r="M369" s="337"/>
    </row>
    <row r="370" spans="1:13" s="75" customFormat="1" ht="27" customHeight="1">
      <c r="A370" s="300"/>
      <c r="B370" s="357"/>
      <c r="C370" s="358"/>
      <c r="D370" s="361"/>
      <c r="E370" s="47">
        <f t="shared" si="56"/>
        <v>189.873</v>
      </c>
      <c r="F370" s="21">
        <v>0</v>
      </c>
      <c r="G370" s="21">
        <v>0</v>
      </c>
      <c r="H370" s="21"/>
      <c r="I370" s="21"/>
      <c r="J370" s="21">
        <f>190-0.127</f>
        <v>189.873</v>
      </c>
      <c r="K370" s="21"/>
      <c r="L370" s="3" t="s">
        <v>214</v>
      </c>
      <c r="M370" s="337"/>
    </row>
    <row r="371" spans="1:13" s="75" customFormat="1" ht="27" customHeight="1">
      <c r="A371" s="300"/>
      <c r="B371" s="357"/>
      <c r="C371" s="358"/>
      <c r="D371" s="361"/>
      <c r="E371" s="47">
        <f t="shared" si="56"/>
        <v>7315.8185</v>
      </c>
      <c r="F371" s="21">
        <v>0</v>
      </c>
      <c r="G371" s="21">
        <f t="shared" si="58"/>
        <v>1271</v>
      </c>
      <c r="H371" s="21"/>
      <c r="I371" s="21">
        <v>1271</v>
      </c>
      <c r="J371" s="21">
        <f>6405.021-360.3295+0.127</f>
        <v>6044.8185</v>
      </c>
      <c r="K371" s="21">
        <v>0</v>
      </c>
      <c r="L371" s="3" t="s">
        <v>213</v>
      </c>
      <c r="M371" s="337"/>
    </row>
    <row r="372" spans="1:13" s="75" customFormat="1" ht="27" customHeight="1">
      <c r="A372" s="300"/>
      <c r="B372" s="357"/>
      <c r="C372" s="358"/>
      <c r="D372" s="7">
        <v>2021</v>
      </c>
      <c r="E372" s="47">
        <f aca="true" t="shared" si="59" ref="E372:K372">SUM(E373:E381)</f>
        <v>214797.228</v>
      </c>
      <c r="F372" s="47">
        <f t="shared" si="59"/>
        <v>143532.8</v>
      </c>
      <c r="G372" s="47">
        <f t="shared" si="59"/>
        <v>1271</v>
      </c>
      <c r="H372" s="47">
        <f t="shared" si="59"/>
        <v>0</v>
      </c>
      <c r="I372" s="47">
        <f t="shared" si="59"/>
        <v>1271</v>
      </c>
      <c r="J372" s="47">
        <f>SUM(J373:J381)</f>
        <v>69993.428</v>
      </c>
      <c r="K372" s="47">
        <f t="shared" si="59"/>
        <v>0</v>
      </c>
      <c r="L372" s="3"/>
      <c r="M372" s="337"/>
    </row>
    <row r="373" spans="1:13" s="75" customFormat="1" ht="27" customHeight="1">
      <c r="A373" s="300"/>
      <c r="B373" s="357"/>
      <c r="C373" s="358"/>
      <c r="D373" s="7"/>
      <c r="E373" s="47">
        <f>F373+G373+J373+K373</f>
        <v>23060.217</v>
      </c>
      <c r="F373" s="21">
        <v>14100</v>
      </c>
      <c r="G373" s="21">
        <f>H373+I373</f>
        <v>0</v>
      </c>
      <c r="H373" s="21"/>
      <c r="I373" s="21"/>
      <c r="J373" s="21">
        <v>8960.217</v>
      </c>
      <c r="K373" s="21">
        <v>0</v>
      </c>
      <c r="L373" s="3" t="s">
        <v>10</v>
      </c>
      <c r="M373" s="337"/>
    </row>
    <row r="374" spans="1:13" s="75" customFormat="1" ht="27" customHeight="1">
      <c r="A374" s="300"/>
      <c r="B374" s="357"/>
      <c r="C374" s="358"/>
      <c r="D374" s="7"/>
      <c r="E374" s="47">
        <f aca="true" t="shared" si="60" ref="E374:E381">F374+G374+J374+K374</f>
        <v>48097.827000000005</v>
      </c>
      <c r="F374" s="21">
        <v>29100</v>
      </c>
      <c r="G374" s="21">
        <f aca="true" t="shared" si="61" ref="G374:G381">H374+I374</f>
        <v>0</v>
      </c>
      <c r="H374" s="21"/>
      <c r="I374" s="21"/>
      <c r="J374" s="21">
        <v>18997.827</v>
      </c>
      <c r="K374" s="21">
        <v>0</v>
      </c>
      <c r="L374" s="3" t="s">
        <v>33</v>
      </c>
      <c r="M374" s="337"/>
    </row>
    <row r="375" spans="1:13" s="75" customFormat="1" ht="27" customHeight="1">
      <c r="A375" s="300"/>
      <c r="B375" s="357"/>
      <c r="C375" s="358"/>
      <c r="D375" s="7"/>
      <c r="E375" s="47">
        <f t="shared" si="60"/>
        <v>27568.181</v>
      </c>
      <c r="F375" s="21">
        <v>15500</v>
      </c>
      <c r="G375" s="21">
        <f t="shared" si="61"/>
        <v>0</v>
      </c>
      <c r="H375" s="21"/>
      <c r="I375" s="21"/>
      <c r="J375" s="21">
        <v>12068.181</v>
      </c>
      <c r="K375" s="21">
        <v>0</v>
      </c>
      <c r="L375" s="3" t="s">
        <v>34</v>
      </c>
      <c r="M375" s="337"/>
    </row>
    <row r="376" spans="1:13" s="75" customFormat="1" ht="27" customHeight="1">
      <c r="A376" s="300"/>
      <c r="B376" s="357"/>
      <c r="C376" s="358"/>
      <c r="D376" s="7"/>
      <c r="E376" s="47">
        <f t="shared" si="60"/>
        <v>45268.990000000005</v>
      </c>
      <c r="F376" s="21">
        <v>39232.8</v>
      </c>
      <c r="G376" s="21">
        <f t="shared" si="61"/>
        <v>0</v>
      </c>
      <c r="H376" s="21"/>
      <c r="I376" s="21"/>
      <c r="J376" s="21">
        <f>6092.59-56.4</f>
        <v>6036.1900000000005</v>
      </c>
      <c r="K376" s="21">
        <v>0</v>
      </c>
      <c r="L376" s="3" t="s">
        <v>35</v>
      </c>
      <c r="M376" s="337"/>
    </row>
    <row r="377" spans="1:13" s="75" customFormat="1" ht="27" customHeight="1">
      <c r="A377" s="300"/>
      <c r="B377" s="357"/>
      <c r="C377" s="358"/>
      <c r="D377" s="7"/>
      <c r="E377" s="47">
        <f t="shared" si="60"/>
        <v>52515.64</v>
      </c>
      <c r="F377" s="21">
        <v>45600</v>
      </c>
      <c r="G377" s="21">
        <f t="shared" si="61"/>
        <v>0</v>
      </c>
      <c r="H377" s="21"/>
      <c r="I377" s="21"/>
      <c r="J377" s="21">
        <f>7065.04-149.4</f>
        <v>6915.64</v>
      </c>
      <c r="K377" s="21">
        <v>0</v>
      </c>
      <c r="L377" s="3" t="s">
        <v>21</v>
      </c>
      <c r="M377" s="337"/>
    </row>
    <row r="378" spans="1:13" s="75" customFormat="1" ht="27" customHeight="1">
      <c r="A378" s="300"/>
      <c r="B378" s="357"/>
      <c r="C378" s="358"/>
      <c r="D378" s="7"/>
      <c r="E378" s="47">
        <f t="shared" si="60"/>
        <v>4710.81</v>
      </c>
      <c r="F378" s="21">
        <v>0</v>
      </c>
      <c r="G378" s="21">
        <f t="shared" si="61"/>
        <v>0</v>
      </c>
      <c r="H378" s="21"/>
      <c r="I378" s="21"/>
      <c r="J378" s="21">
        <v>4710.81</v>
      </c>
      <c r="K378" s="21">
        <v>0</v>
      </c>
      <c r="L378" s="3" t="s">
        <v>216</v>
      </c>
      <c r="M378" s="337"/>
    </row>
    <row r="379" spans="1:13" s="75" customFormat="1" ht="27" customHeight="1">
      <c r="A379" s="300"/>
      <c r="B379" s="357"/>
      <c r="C379" s="358"/>
      <c r="D379" s="7"/>
      <c r="E379" s="47">
        <f t="shared" si="60"/>
        <v>5709.542</v>
      </c>
      <c r="F379" s="21">
        <v>0</v>
      </c>
      <c r="G379" s="21">
        <f t="shared" si="61"/>
        <v>0</v>
      </c>
      <c r="H379" s="21"/>
      <c r="I379" s="21"/>
      <c r="J379" s="21">
        <v>5709.542</v>
      </c>
      <c r="K379" s="21"/>
      <c r="L379" s="6" t="s">
        <v>157</v>
      </c>
      <c r="M379" s="337"/>
    </row>
    <row r="380" spans="1:13" s="75" customFormat="1" ht="27" customHeight="1">
      <c r="A380" s="300"/>
      <c r="B380" s="357"/>
      <c r="C380" s="358"/>
      <c r="D380" s="7"/>
      <c r="E380" s="47">
        <f t="shared" si="60"/>
        <v>189.873</v>
      </c>
      <c r="F380" s="21">
        <v>0</v>
      </c>
      <c r="G380" s="21">
        <f t="shared" si="61"/>
        <v>0</v>
      </c>
      <c r="H380" s="21"/>
      <c r="I380" s="21"/>
      <c r="J380" s="21">
        <f>190-0.127</f>
        <v>189.873</v>
      </c>
      <c r="K380" s="21"/>
      <c r="L380" s="6" t="s">
        <v>214</v>
      </c>
      <c r="M380" s="337"/>
    </row>
    <row r="381" spans="1:13" s="75" customFormat="1" ht="31.5" customHeight="1">
      <c r="A381" s="300"/>
      <c r="B381" s="357"/>
      <c r="C381" s="358"/>
      <c r="D381" s="7"/>
      <c r="E381" s="47">
        <f t="shared" si="60"/>
        <v>7676.148</v>
      </c>
      <c r="F381" s="21">
        <v>0</v>
      </c>
      <c r="G381" s="21">
        <f t="shared" si="61"/>
        <v>1271</v>
      </c>
      <c r="H381" s="21"/>
      <c r="I381" s="21">
        <v>1271</v>
      </c>
      <c r="J381" s="21">
        <f>6405.021+0.127</f>
        <v>6405.148</v>
      </c>
      <c r="K381" s="21">
        <v>0</v>
      </c>
      <c r="L381" s="6" t="s">
        <v>213</v>
      </c>
      <c r="M381" s="337"/>
    </row>
    <row r="382" spans="1:13" s="75" customFormat="1" ht="27.75" customHeight="1">
      <c r="A382" s="300"/>
      <c r="B382" s="357"/>
      <c r="C382" s="358"/>
      <c r="D382" s="361">
        <v>2022</v>
      </c>
      <c r="E382" s="47">
        <f aca="true" t="shared" si="62" ref="E382:K382">SUM(E383:E391)</f>
        <v>214038.92799999996</v>
      </c>
      <c r="F382" s="47">
        <f t="shared" si="62"/>
        <v>143532.8</v>
      </c>
      <c r="G382" s="47">
        <f t="shared" si="62"/>
        <v>1271</v>
      </c>
      <c r="H382" s="47">
        <f t="shared" si="62"/>
        <v>0</v>
      </c>
      <c r="I382" s="47">
        <f t="shared" si="62"/>
        <v>1271</v>
      </c>
      <c r="J382" s="47">
        <f t="shared" si="62"/>
        <v>69235.128</v>
      </c>
      <c r="K382" s="47">
        <f t="shared" si="62"/>
        <v>0</v>
      </c>
      <c r="L382" s="6"/>
      <c r="M382" s="337"/>
    </row>
    <row r="383" spans="1:13" s="75" customFormat="1" ht="27" customHeight="1">
      <c r="A383" s="300"/>
      <c r="B383" s="357"/>
      <c r="C383" s="358"/>
      <c r="D383" s="361"/>
      <c r="E383" s="47">
        <f>F383+G383+J383+K383</f>
        <v>23313.503</v>
      </c>
      <c r="F383" s="21">
        <v>14100</v>
      </c>
      <c r="G383" s="21">
        <f>H383+I383</f>
        <v>0</v>
      </c>
      <c r="H383" s="21"/>
      <c r="I383" s="21"/>
      <c r="J383" s="21">
        <v>9213.503</v>
      </c>
      <c r="K383" s="21">
        <v>0</v>
      </c>
      <c r="L383" s="6" t="s">
        <v>10</v>
      </c>
      <c r="M383" s="337"/>
    </row>
    <row r="384" spans="1:13" s="75" customFormat="1" ht="27" customHeight="1">
      <c r="A384" s="300"/>
      <c r="B384" s="357"/>
      <c r="C384" s="358"/>
      <c r="D384" s="361"/>
      <c r="E384" s="47">
        <f aca="true" t="shared" si="63" ref="E384:E391">F384+G384+J384+K384</f>
        <v>47839.525</v>
      </c>
      <c r="F384" s="21">
        <v>29100</v>
      </c>
      <c r="G384" s="21">
        <f aca="true" t="shared" si="64" ref="G384:G391">H384+I384</f>
        <v>0</v>
      </c>
      <c r="H384" s="21"/>
      <c r="I384" s="21"/>
      <c r="J384" s="21">
        <v>18739.525</v>
      </c>
      <c r="K384" s="21">
        <v>0</v>
      </c>
      <c r="L384" s="6" t="s">
        <v>33</v>
      </c>
      <c r="M384" s="337"/>
    </row>
    <row r="385" spans="1:13" s="75" customFormat="1" ht="27" customHeight="1">
      <c r="A385" s="300"/>
      <c r="B385" s="357"/>
      <c r="C385" s="358"/>
      <c r="D385" s="361"/>
      <c r="E385" s="47">
        <f t="shared" si="63"/>
        <v>27147.337</v>
      </c>
      <c r="F385" s="21">
        <v>15500</v>
      </c>
      <c r="G385" s="21">
        <f t="shared" si="64"/>
        <v>0</v>
      </c>
      <c r="H385" s="21"/>
      <c r="I385" s="21"/>
      <c r="J385" s="21">
        <v>11647.337</v>
      </c>
      <c r="K385" s="21">
        <v>0</v>
      </c>
      <c r="L385" s="6" t="s">
        <v>34</v>
      </c>
      <c r="M385" s="337"/>
    </row>
    <row r="386" spans="1:13" s="75" customFormat="1" ht="27" customHeight="1">
      <c r="A386" s="300"/>
      <c r="B386" s="357"/>
      <c r="C386" s="358"/>
      <c r="D386" s="361"/>
      <c r="E386" s="47">
        <f t="shared" si="63"/>
        <v>45133.306000000004</v>
      </c>
      <c r="F386" s="21">
        <v>39232.8</v>
      </c>
      <c r="G386" s="21">
        <f t="shared" si="64"/>
        <v>0</v>
      </c>
      <c r="H386" s="21"/>
      <c r="I386" s="21"/>
      <c r="J386" s="21">
        <f>6042.506-142</f>
        <v>5900.506</v>
      </c>
      <c r="K386" s="21">
        <v>0</v>
      </c>
      <c r="L386" s="6" t="s">
        <v>35</v>
      </c>
      <c r="M386" s="337"/>
    </row>
    <row r="387" spans="1:13" s="75" customFormat="1" ht="27" customHeight="1">
      <c r="A387" s="300"/>
      <c r="B387" s="357"/>
      <c r="C387" s="358"/>
      <c r="D387" s="361"/>
      <c r="E387" s="47">
        <f t="shared" si="63"/>
        <v>52318.884</v>
      </c>
      <c r="F387" s="21">
        <v>45600</v>
      </c>
      <c r="G387" s="21">
        <f t="shared" si="64"/>
        <v>0</v>
      </c>
      <c r="H387" s="21"/>
      <c r="I387" s="21"/>
      <c r="J387" s="21">
        <v>6718.884</v>
      </c>
      <c r="K387" s="21">
        <v>0</v>
      </c>
      <c r="L387" s="6" t="s">
        <v>21</v>
      </c>
      <c r="M387" s="337"/>
    </row>
    <row r="388" spans="1:13" s="75" customFormat="1" ht="27" customHeight="1">
      <c r="A388" s="300"/>
      <c r="B388" s="357"/>
      <c r="C388" s="358"/>
      <c r="D388" s="361"/>
      <c r="E388" s="47">
        <f t="shared" si="63"/>
        <v>4710.81</v>
      </c>
      <c r="F388" s="21">
        <v>0</v>
      </c>
      <c r="G388" s="21">
        <f t="shared" si="64"/>
        <v>0</v>
      </c>
      <c r="H388" s="21"/>
      <c r="I388" s="21"/>
      <c r="J388" s="21">
        <v>4710.81</v>
      </c>
      <c r="K388" s="21">
        <v>0</v>
      </c>
      <c r="L388" s="6" t="s">
        <v>216</v>
      </c>
      <c r="M388" s="337"/>
    </row>
    <row r="389" spans="1:13" s="75" customFormat="1" ht="27" customHeight="1">
      <c r="A389" s="300"/>
      <c r="B389" s="357"/>
      <c r="C389" s="358"/>
      <c r="D389" s="361"/>
      <c r="E389" s="47">
        <f t="shared" si="63"/>
        <v>5709.542</v>
      </c>
      <c r="F389" s="21">
        <v>0</v>
      </c>
      <c r="G389" s="21">
        <f t="shared" si="64"/>
        <v>0</v>
      </c>
      <c r="H389" s="21"/>
      <c r="I389" s="21"/>
      <c r="J389" s="21">
        <v>5709.542</v>
      </c>
      <c r="K389" s="21">
        <v>0</v>
      </c>
      <c r="L389" s="6" t="s">
        <v>157</v>
      </c>
      <c r="M389" s="337"/>
    </row>
    <row r="390" spans="1:13" s="75" customFormat="1" ht="27" customHeight="1">
      <c r="A390" s="300"/>
      <c r="B390" s="357"/>
      <c r="C390" s="358"/>
      <c r="D390" s="361"/>
      <c r="E390" s="47">
        <f t="shared" si="63"/>
        <v>189.873</v>
      </c>
      <c r="F390" s="21">
        <v>0</v>
      </c>
      <c r="G390" s="21">
        <f t="shared" si="64"/>
        <v>0</v>
      </c>
      <c r="H390" s="21"/>
      <c r="I390" s="21"/>
      <c r="J390" s="21">
        <f>190-0.127</f>
        <v>189.873</v>
      </c>
      <c r="K390" s="21">
        <v>0</v>
      </c>
      <c r="L390" s="6" t="s">
        <v>214</v>
      </c>
      <c r="M390" s="337"/>
    </row>
    <row r="391" spans="1:13" s="75" customFormat="1" ht="27" customHeight="1">
      <c r="A391" s="300"/>
      <c r="B391" s="359"/>
      <c r="C391" s="360"/>
      <c r="D391" s="361"/>
      <c r="E391" s="47">
        <f t="shared" si="63"/>
        <v>7676.148</v>
      </c>
      <c r="F391" s="21">
        <v>0</v>
      </c>
      <c r="G391" s="21">
        <f t="shared" si="64"/>
        <v>1271</v>
      </c>
      <c r="H391" s="21"/>
      <c r="I391" s="21">
        <v>1271</v>
      </c>
      <c r="J391" s="21">
        <f>6405.021+0.127</f>
        <v>6405.148</v>
      </c>
      <c r="K391" s="21">
        <v>0</v>
      </c>
      <c r="L391" s="6" t="s">
        <v>213</v>
      </c>
      <c r="M391" s="337"/>
    </row>
    <row r="392" spans="1:13" s="87" customFormat="1" ht="27" customHeight="1">
      <c r="A392" s="284" t="s">
        <v>271</v>
      </c>
      <c r="B392" s="287" t="s">
        <v>270</v>
      </c>
      <c r="C392" s="288"/>
      <c r="D392" s="7">
        <v>2020</v>
      </c>
      <c r="E392" s="47">
        <f aca="true" t="shared" si="65" ref="E392:J392">E393+E394</f>
        <v>1979.1</v>
      </c>
      <c r="F392" s="47">
        <f t="shared" si="65"/>
        <v>0</v>
      </c>
      <c r="G392" s="47">
        <f>G393+G394</f>
        <v>1979.1</v>
      </c>
      <c r="H392" s="47">
        <f t="shared" si="65"/>
        <v>1979.1</v>
      </c>
      <c r="I392" s="47">
        <f t="shared" si="65"/>
        <v>0</v>
      </c>
      <c r="J392" s="47">
        <f t="shared" si="65"/>
        <v>0</v>
      </c>
      <c r="K392" s="47">
        <f>K393+K394</f>
        <v>0</v>
      </c>
      <c r="L392" s="110"/>
      <c r="M392" s="271"/>
    </row>
    <row r="393" spans="1:13" s="75" customFormat="1" ht="27" customHeight="1">
      <c r="A393" s="285"/>
      <c r="B393" s="289"/>
      <c r="C393" s="290"/>
      <c r="D393" s="7">
        <v>2020</v>
      </c>
      <c r="E393" s="21">
        <f>F393+G393+J393</f>
        <v>925.3</v>
      </c>
      <c r="F393" s="21">
        <v>0</v>
      </c>
      <c r="G393" s="21">
        <f>H393+I393</f>
        <v>925.3</v>
      </c>
      <c r="H393" s="21">
        <v>925.3</v>
      </c>
      <c r="I393" s="21">
        <v>0</v>
      </c>
      <c r="J393" s="21">
        <v>0</v>
      </c>
      <c r="K393" s="21">
        <v>0</v>
      </c>
      <c r="L393" s="6" t="s">
        <v>156</v>
      </c>
      <c r="M393" s="23"/>
    </row>
    <row r="394" spans="1:13" s="75" customFormat="1" ht="27" customHeight="1">
      <c r="A394" s="286"/>
      <c r="B394" s="291"/>
      <c r="C394" s="292"/>
      <c r="D394" s="7">
        <v>2020</v>
      </c>
      <c r="E394" s="21">
        <f>F394+G394+J394</f>
        <v>1053.8</v>
      </c>
      <c r="F394" s="21">
        <v>0</v>
      </c>
      <c r="G394" s="21">
        <f>H394+I394</f>
        <v>1053.8</v>
      </c>
      <c r="H394" s="21">
        <v>1053.8</v>
      </c>
      <c r="I394" s="21">
        <v>0</v>
      </c>
      <c r="J394" s="21">
        <v>0</v>
      </c>
      <c r="K394" s="21">
        <v>0</v>
      </c>
      <c r="L394" s="6" t="s">
        <v>155</v>
      </c>
      <c r="M394" s="23"/>
    </row>
    <row r="395" spans="1:13" s="75" customFormat="1" ht="27" customHeight="1">
      <c r="A395" s="308"/>
      <c r="B395" s="313" t="s">
        <v>42</v>
      </c>
      <c r="C395" s="313"/>
      <c r="D395" s="7">
        <v>2017</v>
      </c>
      <c r="E395" s="47">
        <f aca="true" t="shared" si="66" ref="E395:J395">E327+E336</f>
        <v>216780.416</v>
      </c>
      <c r="F395" s="47">
        <f t="shared" si="66"/>
        <v>124615.2</v>
      </c>
      <c r="G395" s="47">
        <f t="shared" si="66"/>
        <v>727</v>
      </c>
      <c r="H395" s="47">
        <f t="shared" si="66"/>
        <v>0</v>
      </c>
      <c r="I395" s="47">
        <f>I327+I336</f>
        <v>727</v>
      </c>
      <c r="J395" s="47">
        <f t="shared" si="66"/>
        <v>91438.216</v>
      </c>
      <c r="K395" s="47">
        <f>K336+K327+K318+K262+K261+K260+K259+K258+K257+K256+K205+K204</f>
        <v>0</v>
      </c>
      <c r="L395" s="6"/>
      <c r="M395" s="23"/>
    </row>
    <row r="396" spans="1:13" s="75" customFormat="1" ht="27" customHeight="1">
      <c r="A396" s="308"/>
      <c r="B396" s="313"/>
      <c r="C396" s="313"/>
      <c r="D396" s="7">
        <v>2018</v>
      </c>
      <c r="E396" s="47">
        <f aca="true" t="shared" si="67" ref="E396:J396">E346+E338</f>
        <v>209116.99978</v>
      </c>
      <c r="F396" s="47">
        <f t="shared" si="67"/>
        <v>137344.5</v>
      </c>
      <c r="G396" s="47">
        <f t="shared" si="67"/>
        <v>1006.9820000000001</v>
      </c>
      <c r="H396" s="47">
        <f t="shared" si="67"/>
        <v>0</v>
      </c>
      <c r="I396" s="47">
        <f t="shared" si="67"/>
        <v>1006.9820000000001</v>
      </c>
      <c r="J396" s="47">
        <f t="shared" si="67"/>
        <v>70765.51778000001</v>
      </c>
      <c r="K396" s="47">
        <f>K338</f>
        <v>0</v>
      </c>
      <c r="L396" s="6"/>
      <c r="M396" s="23"/>
    </row>
    <row r="397" spans="1:13" s="75" customFormat="1" ht="27" customHeight="1">
      <c r="A397" s="308"/>
      <c r="B397" s="313"/>
      <c r="C397" s="313"/>
      <c r="D397" s="7">
        <v>2019</v>
      </c>
      <c r="E397" s="47">
        <f aca="true" t="shared" si="68" ref="E397:K397">E352</f>
        <v>229770.53044</v>
      </c>
      <c r="F397" s="47">
        <f t="shared" si="68"/>
        <v>150533.8</v>
      </c>
      <c r="G397" s="47">
        <f t="shared" si="68"/>
        <v>1276.052</v>
      </c>
      <c r="H397" s="47">
        <f t="shared" si="68"/>
        <v>0</v>
      </c>
      <c r="I397" s="47">
        <f t="shared" si="68"/>
        <v>1276.052</v>
      </c>
      <c r="J397" s="47">
        <f>J352</f>
        <v>77960.67844000002</v>
      </c>
      <c r="K397" s="47">
        <f t="shared" si="68"/>
        <v>0</v>
      </c>
      <c r="L397" s="6"/>
      <c r="M397" s="23"/>
    </row>
    <row r="398" spans="1:13" s="75" customFormat="1" ht="27" customHeight="1">
      <c r="A398" s="308"/>
      <c r="B398" s="313"/>
      <c r="C398" s="313"/>
      <c r="D398" s="7">
        <v>2020</v>
      </c>
      <c r="E398" s="47">
        <f>E362+E392</f>
        <v>236006.16550000003</v>
      </c>
      <c r="F398" s="47">
        <f aca="true" t="shared" si="69" ref="F398:K398">F362+F392</f>
        <v>149607</v>
      </c>
      <c r="G398" s="47">
        <f t="shared" si="69"/>
        <v>3250.1</v>
      </c>
      <c r="H398" s="47">
        <f t="shared" si="69"/>
        <v>1979.1</v>
      </c>
      <c r="I398" s="47">
        <f t="shared" si="69"/>
        <v>1271</v>
      </c>
      <c r="J398" s="47">
        <f t="shared" si="69"/>
        <v>83149.06550000001</v>
      </c>
      <c r="K398" s="47">
        <f t="shared" si="69"/>
        <v>0</v>
      </c>
      <c r="L398" s="6"/>
      <c r="M398" s="23"/>
    </row>
    <row r="399" spans="1:13" s="75" customFormat="1" ht="27" customHeight="1">
      <c r="A399" s="308"/>
      <c r="B399" s="313"/>
      <c r="C399" s="313"/>
      <c r="D399" s="7">
        <v>2021</v>
      </c>
      <c r="E399" s="47">
        <f aca="true" t="shared" si="70" ref="E399:K399">E372</f>
        <v>214797.228</v>
      </c>
      <c r="F399" s="47">
        <f t="shared" si="70"/>
        <v>143532.8</v>
      </c>
      <c r="G399" s="47">
        <f t="shared" si="70"/>
        <v>1271</v>
      </c>
      <c r="H399" s="47">
        <f t="shared" si="70"/>
        <v>0</v>
      </c>
      <c r="I399" s="47">
        <f t="shared" si="70"/>
        <v>1271</v>
      </c>
      <c r="J399" s="47">
        <f t="shared" si="70"/>
        <v>69993.428</v>
      </c>
      <c r="K399" s="47">
        <f t="shared" si="70"/>
        <v>0</v>
      </c>
      <c r="L399" s="6"/>
      <c r="M399" s="23"/>
    </row>
    <row r="400" spans="1:13" s="75" customFormat="1" ht="27" customHeight="1">
      <c r="A400" s="308"/>
      <c r="B400" s="313"/>
      <c r="C400" s="313"/>
      <c r="D400" s="7">
        <v>2022</v>
      </c>
      <c r="E400" s="47">
        <f aca="true" t="shared" si="71" ref="E400:K400">E382</f>
        <v>214038.92799999996</v>
      </c>
      <c r="F400" s="47">
        <f t="shared" si="71"/>
        <v>143532.8</v>
      </c>
      <c r="G400" s="47">
        <f t="shared" si="71"/>
        <v>1271</v>
      </c>
      <c r="H400" s="47">
        <f t="shared" si="71"/>
        <v>0</v>
      </c>
      <c r="I400" s="47">
        <f t="shared" si="71"/>
        <v>1271</v>
      </c>
      <c r="J400" s="47">
        <f t="shared" si="71"/>
        <v>69235.128</v>
      </c>
      <c r="K400" s="47">
        <f t="shared" si="71"/>
        <v>0</v>
      </c>
      <c r="L400" s="6"/>
      <c r="M400" s="23"/>
    </row>
    <row r="401" spans="1:13" s="75" customFormat="1" ht="27" customHeight="1">
      <c r="A401" s="314" t="s">
        <v>61</v>
      </c>
      <c r="B401" s="315"/>
      <c r="C401" s="315"/>
      <c r="D401" s="315"/>
      <c r="E401" s="315"/>
      <c r="F401" s="315"/>
      <c r="G401" s="315"/>
      <c r="H401" s="315"/>
      <c r="I401" s="315"/>
      <c r="J401" s="315"/>
      <c r="K401" s="315"/>
      <c r="L401" s="315"/>
      <c r="M401" s="316"/>
    </row>
    <row r="402" spans="1:13" s="75" customFormat="1" ht="27" customHeight="1">
      <c r="A402" s="345" t="s">
        <v>143</v>
      </c>
      <c r="B402" s="321"/>
      <c r="C402" s="321"/>
      <c r="D402" s="321"/>
      <c r="E402" s="321"/>
      <c r="F402" s="321"/>
      <c r="G402" s="321"/>
      <c r="H402" s="321"/>
      <c r="I402" s="321"/>
      <c r="J402" s="321"/>
      <c r="K402" s="321"/>
      <c r="L402" s="322"/>
      <c r="M402" s="23"/>
    </row>
    <row r="403" spans="1:13" s="75" customFormat="1" ht="29.25" customHeight="1">
      <c r="A403" s="346" t="s">
        <v>26</v>
      </c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8"/>
    </row>
    <row r="404" spans="1:13" s="75" customFormat="1" ht="24.75" customHeight="1">
      <c r="A404" s="300" t="s">
        <v>93</v>
      </c>
      <c r="B404" s="349" t="s">
        <v>144</v>
      </c>
      <c r="C404" s="350"/>
      <c r="D404" s="7">
        <v>2017</v>
      </c>
      <c r="E404" s="46">
        <f aca="true" t="shared" si="72" ref="E404:E409">F404+G404+J404+K404</f>
        <v>7260.311</v>
      </c>
      <c r="F404" s="9"/>
      <c r="G404" s="9">
        <f aca="true" t="shared" si="73" ref="G404:G409">H404+I404</f>
        <v>0</v>
      </c>
      <c r="H404" s="46">
        <v>0</v>
      </c>
      <c r="I404" s="46">
        <v>0</v>
      </c>
      <c r="J404" s="46">
        <v>7260.311</v>
      </c>
      <c r="K404" s="9">
        <v>0</v>
      </c>
      <c r="L404" s="3" t="s">
        <v>153</v>
      </c>
      <c r="M404" s="337" t="s">
        <v>70</v>
      </c>
    </row>
    <row r="405" spans="1:13" s="75" customFormat="1" ht="24.75" customHeight="1">
      <c r="A405" s="300"/>
      <c r="B405" s="351"/>
      <c r="C405" s="352"/>
      <c r="D405" s="7">
        <v>2018</v>
      </c>
      <c r="E405" s="46">
        <f t="shared" si="72"/>
        <v>8308.2425</v>
      </c>
      <c r="F405" s="9"/>
      <c r="G405" s="9">
        <f t="shared" si="73"/>
        <v>0</v>
      </c>
      <c r="H405" s="46">
        <v>0</v>
      </c>
      <c r="I405" s="46">
        <v>0</v>
      </c>
      <c r="J405" s="46">
        <f>8213.1695+95.073</f>
        <v>8308.2425</v>
      </c>
      <c r="K405" s="9">
        <v>0</v>
      </c>
      <c r="L405" s="3" t="s">
        <v>153</v>
      </c>
      <c r="M405" s="337"/>
    </row>
    <row r="406" spans="1:13" s="75" customFormat="1" ht="24.75" customHeight="1">
      <c r="A406" s="300"/>
      <c r="B406" s="351"/>
      <c r="C406" s="352"/>
      <c r="D406" s="7">
        <v>2019</v>
      </c>
      <c r="E406" s="46">
        <f t="shared" si="72"/>
        <v>8783.56033</v>
      </c>
      <c r="F406" s="9"/>
      <c r="G406" s="9">
        <f t="shared" si="73"/>
        <v>0</v>
      </c>
      <c r="H406" s="46">
        <v>0</v>
      </c>
      <c r="I406" s="46">
        <v>0</v>
      </c>
      <c r="J406" s="46">
        <f>8729.252+86.622-32.31367</f>
        <v>8783.56033</v>
      </c>
      <c r="K406" s="46">
        <v>0</v>
      </c>
      <c r="L406" s="3" t="s">
        <v>153</v>
      </c>
      <c r="M406" s="337"/>
    </row>
    <row r="407" spans="1:13" s="75" customFormat="1" ht="24.75" customHeight="1">
      <c r="A407" s="300"/>
      <c r="B407" s="351"/>
      <c r="C407" s="352"/>
      <c r="D407" s="7">
        <v>2020</v>
      </c>
      <c r="E407" s="46">
        <f t="shared" si="72"/>
        <v>8976.345</v>
      </c>
      <c r="F407" s="9"/>
      <c r="G407" s="9">
        <f t="shared" si="73"/>
        <v>0</v>
      </c>
      <c r="H407" s="46">
        <v>0</v>
      </c>
      <c r="I407" s="46">
        <v>0</v>
      </c>
      <c r="J407" s="46">
        <v>8976.345</v>
      </c>
      <c r="K407" s="9">
        <v>0</v>
      </c>
      <c r="L407" s="3" t="s">
        <v>153</v>
      </c>
      <c r="M407" s="337"/>
    </row>
    <row r="408" spans="1:13" s="75" customFormat="1" ht="24.75" customHeight="1">
      <c r="A408" s="300"/>
      <c r="B408" s="351"/>
      <c r="C408" s="352"/>
      <c r="D408" s="7">
        <v>2021</v>
      </c>
      <c r="E408" s="46">
        <f t="shared" si="72"/>
        <v>8976.443</v>
      </c>
      <c r="F408" s="9"/>
      <c r="G408" s="9">
        <f t="shared" si="73"/>
        <v>0</v>
      </c>
      <c r="H408" s="46">
        <v>0</v>
      </c>
      <c r="I408" s="46">
        <v>0</v>
      </c>
      <c r="J408" s="46">
        <v>8976.443</v>
      </c>
      <c r="K408" s="9">
        <v>0</v>
      </c>
      <c r="L408" s="3" t="s">
        <v>153</v>
      </c>
      <c r="M408" s="337"/>
    </row>
    <row r="409" spans="1:13" s="75" customFormat="1" ht="24.75" customHeight="1">
      <c r="A409" s="300"/>
      <c r="B409" s="353"/>
      <c r="C409" s="354"/>
      <c r="D409" s="7">
        <v>2022</v>
      </c>
      <c r="E409" s="46">
        <f t="shared" si="72"/>
        <v>8976.443</v>
      </c>
      <c r="F409" s="9"/>
      <c r="G409" s="9">
        <f t="shared" si="73"/>
        <v>0</v>
      </c>
      <c r="H409" s="46">
        <v>0</v>
      </c>
      <c r="I409" s="46">
        <v>0</v>
      </c>
      <c r="J409" s="46">
        <v>8976.443</v>
      </c>
      <c r="K409" s="9">
        <v>0</v>
      </c>
      <c r="L409" s="3" t="s">
        <v>153</v>
      </c>
      <c r="M409" s="337"/>
    </row>
    <row r="410" spans="1:13" s="75" customFormat="1" ht="27" customHeight="1">
      <c r="A410" s="319" t="s">
        <v>22</v>
      </c>
      <c r="B410" s="315"/>
      <c r="C410" s="315"/>
      <c r="D410" s="315"/>
      <c r="E410" s="315"/>
      <c r="F410" s="315"/>
      <c r="G410" s="315"/>
      <c r="H410" s="315"/>
      <c r="I410" s="315"/>
      <c r="J410" s="315"/>
      <c r="K410" s="315"/>
      <c r="L410" s="315"/>
      <c r="M410" s="316"/>
    </row>
    <row r="411" spans="1:13" s="75" customFormat="1" ht="27" customHeight="1">
      <c r="A411" s="320" t="s">
        <v>27</v>
      </c>
      <c r="B411" s="321"/>
      <c r="C411" s="321"/>
      <c r="D411" s="321"/>
      <c r="E411" s="321"/>
      <c r="F411" s="321"/>
      <c r="G411" s="321"/>
      <c r="H411" s="321"/>
      <c r="I411" s="321"/>
      <c r="J411" s="321"/>
      <c r="K411" s="321"/>
      <c r="L411" s="321"/>
      <c r="M411" s="322"/>
    </row>
    <row r="412" spans="1:13" s="75" customFormat="1" ht="27" customHeight="1">
      <c r="A412" s="323" t="s">
        <v>28</v>
      </c>
      <c r="B412" s="321"/>
      <c r="C412" s="321"/>
      <c r="D412" s="321"/>
      <c r="E412" s="321"/>
      <c r="F412" s="321"/>
      <c r="G412" s="321"/>
      <c r="H412" s="321"/>
      <c r="I412" s="321"/>
      <c r="J412" s="321"/>
      <c r="K412" s="321"/>
      <c r="L412" s="321"/>
      <c r="M412" s="322"/>
    </row>
    <row r="413" spans="1:13" s="75" customFormat="1" ht="24.75" customHeight="1">
      <c r="A413" s="300" t="s">
        <v>94</v>
      </c>
      <c r="B413" s="324" t="s">
        <v>145</v>
      </c>
      <c r="C413" s="324"/>
      <c r="D413" s="7">
        <v>2017</v>
      </c>
      <c r="E413" s="2">
        <f aca="true" t="shared" si="74" ref="E413:E431">F413+G413+J413+K413</f>
        <v>292.4</v>
      </c>
      <c r="F413" s="2">
        <v>292.4</v>
      </c>
      <c r="G413" s="2">
        <f>H413+I413</f>
        <v>0</v>
      </c>
      <c r="H413" s="2"/>
      <c r="I413" s="2">
        <v>0</v>
      </c>
      <c r="J413" s="22">
        <v>0</v>
      </c>
      <c r="K413" s="22">
        <v>0</v>
      </c>
      <c r="L413" s="3" t="s">
        <v>3</v>
      </c>
      <c r="M413" s="337" t="s">
        <v>62</v>
      </c>
    </row>
    <row r="414" spans="1:13" s="75" customFormat="1" ht="24.75" customHeight="1">
      <c r="A414" s="300"/>
      <c r="B414" s="324"/>
      <c r="C414" s="324"/>
      <c r="D414" s="7">
        <v>2018</v>
      </c>
      <c r="E414" s="2">
        <f t="shared" si="74"/>
        <v>233.2</v>
      </c>
      <c r="F414" s="2">
        <v>233.2</v>
      </c>
      <c r="G414" s="2">
        <f aca="true" t="shared" si="75" ref="G414:G430">H414+I414</f>
        <v>0</v>
      </c>
      <c r="H414" s="2"/>
      <c r="I414" s="2">
        <v>0</v>
      </c>
      <c r="J414" s="22">
        <v>0</v>
      </c>
      <c r="K414" s="22">
        <v>0</v>
      </c>
      <c r="L414" s="3" t="s">
        <v>3</v>
      </c>
      <c r="M414" s="344"/>
    </row>
    <row r="415" spans="1:13" s="75" customFormat="1" ht="24.75" customHeight="1">
      <c r="A415" s="300"/>
      <c r="B415" s="324"/>
      <c r="C415" s="324"/>
      <c r="D415" s="7">
        <v>2019</v>
      </c>
      <c r="E415" s="2">
        <f t="shared" si="74"/>
        <v>281.9</v>
      </c>
      <c r="F415" s="2">
        <v>281.9</v>
      </c>
      <c r="G415" s="2">
        <f t="shared" si="75"/>
        <v>0</v>
      </c>
      <c r="H415" s="2"/>
      <c r="I415" s="2">
        <v>0</v>
      </c>
      <c r="J415" s="22">
        <v>0</v>
      </c>
      <c r="K415" s="22">
        <v>0</v>
      </c>
      <c r="L415" s="3" t="s">
        <v>3</v>
      </c>
      <c r="M415" s="344"/>
    </row>
    <row r="416" spans="1:13" s="75" customFormat="1" ht="24.75" customHeight="1">
      <c r="A416" s="300"/>
      <c r="B416" s="324"/>
      <c r="C416" s="324"/>
      <c r="D416" s="7">
        <v>2020</v>
      </c>
      <c r="E416" s="2">
        <f>F416+G416+J416+K416</f>
        <v>216.2</v>
      </c>
      <c r="F416" s="2">
        <v>216.2</v>
      </c>
      <c r="G416" s="2">
        <f>H416+I416</f>
        <v>0</v>
      </c>
      <c r="H416" s="2"/>
      <c r="I416" s="2">
        <v>0</v>
      </c>
      <c r="J416" s="22">
        <v>0</v>
      </c>
      <c r="K416" s="22">
        <v>0</v>
      </c>
      <c r="L416" s="3" t="s">
        <v>3</v>
      </c>
      <c r="M416" s="344"/>
    </row>
    <row r="417" spans="1:13" s="75" customFormat="1" ht="24.75" customHeight="1">
      <c r="A417" s="300"/>
      <c r="B417" s="324"/>
      <c r="C417" s="324"/>
      <c r="D417" s="7">
        <v>2021</v>
      </c>
      <c r="E417" s="2">
        <f>F417+G417+J417+K417</f>
        <v>216.6</v>
      </c>
      <c r="F417" s="2">
        <v>216.6</v>
      </c>
      <c r="G417" s="2">
        <f>H417+I417</f>
        <v>0</v>
      </c>
      <c r="H417" s="2"/>
      <c r="I417" s="2">
        <v>0</v>
      </c>
      <c r="J417" s="22">
        <v>0</v>
      </c>
      <c r="K417" s="22">
        <v>0</v>
      </c>
      <c r="L417" s="3" t="s">
        <v>3</v>
      </c>
      <c r="M417" s="344"/>
    </row>
    <row r="418" spans="1:13" s="75" customFormat="1" ht="24.75" customHeight="1">
      <c r="A418" s="300"/>
      <c r="B418" s="324"/>
      <c r="C418" s="324"/>
      <c r="D418" s="7">
        <v>2022</v>
      </c>
      <c r="E418" s="2">
        <f t="shared" si="74"/>
        <v>216.6</v>
      </c>
      <c r="F418" s="2">
        <v>216.6</v>
      </c>
      <c r="G418" s="2">
        <f t="shared" si="75"/>
        <v>0</v>
      </c>
      <c r="H418" s="2"/>
      <c r="I418" s="2">
        <v>0</v>
      </c>
      <c r="J418" s="22">
        <v>0</v>
      </c>
      <c r="K418" s="22">
        <v>0</v>
      </c>
      <c r="L418" s="3" t="s">
        <v>3</v>
      </c>
      <c r="M418" s="344"/>
    </row>
    <row r="419" spans="1:13" s="75" customFormat="1" ht="24.75" customHeight="1">
      <c r="A419" s="300" t="s">
        <v>95</v>
      </c>
      <c r="B419" s="337" t="s">
        <v>146</v>
      </c>
      <c r="C419" s="337"/>
      <c r="D419" s="7">
        <v>2017</v>
      </c>
      <c r="E419" s="2">
        <f t="shared" si="74"/>
        <v>96.8</v>
      </c>
      <c r="F419" s="2">
        <v>0</v>
      </c>
      <c r="G419" s="2">
        <f t="shared" si="75"/>
        <v>96.8</v>
      </c>
      <c r="H419" s="2"/>
      <c r="I419" s="2">
        <v>96.8</v>
      </c>
      <c r="J419" s="22">
        <v>0</v>
      </c>
      <c r="K419" s="22">
        <v>0</v>
      </c>
      <c r="L419" s="3" t="s">
        <v>3</v>
      </c>
      <c r="M419" s="337" t="s">
        <v>63</v>
      </c>
    </row>
    <row r="420" spans="1:13" s="75" customFormat="1" ht="24.75" customHeight="1">
      <c r="A420" s="300"/>
      <c r="B420" s="337"/>
      <c r="C420" s="337"/>
      <c r="D420" s="7">
        <v>2018</v>
      </c>
      <c r="E420" s="2">
        <f t="shared" si="74"/>
        <v>127.3</v>
      </c>
      <c r="F420" s="2">
        <v>0</v>
      </c>
      <c r="G420" s="2">
        <f t="shared" si="75"/>
        <v>127.3</v>
      </c>
      <c r="H420" s="2"/>
      <c r="I420" s="2">
        <v>127.3</v>
      </c>
      <c r="J420" s="22">
        <v>0</v>
      </c>
      <c r="K420" s="22">
        <v>0</v>
      </c>
      <c r="L420" s="3" t="s">
        <v>3</v>
      </c>
      <c r="M420" s="337"/>
    </row>
    <row r="421" spans="1:13" s="75" customFormat="1" ht="24.75" customHeight="1">
      <c r="A421" s="300"/>
      <c r="B421" s="337"/>
      <c r="C421" s="337"/>
      <c r="D421" s="7">
        <v>2019</v>
      </c>
      <c r="E421" s="2">
        <f t="shared" si="74"/>
        <v>132.7</v>
      </c>
      <c r="F421" s="2">
        <v>0</v>
      </c>
      <c r="G421" s="2">
        <f t="shared" si="75"/>
        <v>132.7</v>
      </c>
      <c r="H421" s="2"/>
      <c r="I421" s="2">
        <v>132.7</v>
      </c>
      <c r="J421" s="22">
        <v>0</v>
      </c>
      <c r="K421" s="22">
        <v>0</v>
      </c>
      <c r="L421" s="3" t="s">
        <v>3</v>
      </c>
      <c r="M421" s="337"/>
    </row>
    <row r="422" spans="1:13" s="75" customFormat="1" ht="24.75" customHeight="1">
      <c r="A422" s="300"/>
      <c r="B422" s="337"/>
      <c r="C422" s="337"/>
      <c r="D422" s="7">
        <v>2020</v>
      </c>
      <c r="E422" s="2">
        <f>F422+G422+J422+K422</f>
        <v>134.4</v>
      </c>
      <c r="F422" s="2">
        <v>134.4</v>
      </c>
      <c r="G422" s="2">
        <f>H422+I422</f>
        <v>0</v>
      </c>
      <c r="H422" s="2"/>
      <c r="I422" s="2">
        <v>0</v>
      </c>
      <c r="J422" s="22">
        <v>0</v>
      </c>
      <c r="K422" s="22">
        <v>0</v>
      </c>
      <c r="L422" s="3" t="s">
        <v>3</v>
      </c>
      <c r="M422" s="337"/>
    </row>
    <row r="423" spans="1:13" s="75" customFormat="1" ht="24.75" customHeight="1">
      <c r="A423" s="300"/>
      <c r="B423" s="337"/>
      <c r="C423" s="337"/>
      <c r="D423" s="7">
        <v>2021</v>
      </c>
      <c r="E423" s="2">
        <f>F423+G423+J423+K423</f>
        <v>134.7</v>
      </c>
      <c r="F423" s="2">
        <v>134.7</v>
      </c>
      <c r="G423" s="2">
        <f>H423+I423</f>
        <v>0</v>
      </c>
      <c r="H423" s="2"/>
      <c r="I423" s="2">
        <v>0</v>
      </c>
      <c r="J423" s="22">
        <v>0</v>
      </c>
      <c r="K423" s="22">
        <v>0</v>
      </c>
      <c r="L423" s="3" t="s">
        <v>3</v>
      </c>
      <c r="M423" s="337"/>
    </row>
    <row r="424" spans="1:13" s="75" customFormat="1" ht="24.75" customHeight="1">
      <c r="A424" s="300"/>
      <c r="B424" s="337"/>
      <c r="C424" s="337"/>
      <c r="D424" s="7">
        <v>2022</v>
      </c>
      <c r="E424" s="2">
        <f t="shared" si="74"/>
        <v>134.7</v>
      </c>
      <c r="F424" s="2">
        <v>134.7</v>
      </c>
      <c r="G424" s="2">
        <f t="shared" si="75"/>
        <v>0</v>
      </c>
      <c r="H424" s="2"/>
      <c r="I424" s="2">
        <v>0</v>
      </c>
      <c r="J424" s="22">
        <v>0</v>
      </c>
      <c r="K424" s="22">
        <v>0</v>
      </c>
      <c r="L424" s="3" t="s">
        <v>3</v>
      </c>
      <c r="M424" s="337"/>
    </row>
    <row r="425" spans="1:13" s="75" customFormat="1" ht="24.75" customHeight="1">
      <c r="A425" s="300" t="s">
        <v>96</v>
      </c>
      <c r="B425" s="337" t="s">
        <v>147</v>
      </c>
      <c r="C425" s="337"/>
      <c r="D425" s="7">
        <v>2017</v>
      </c>
      <c r="E425" s="2">
        <f t="shared" si="74"/>
        <v>5391.1</v>
      </c>
      <c r="F425" s="2">
        <v>5391.1</v>
      </c>
      <c r="G425" s="2">
        <f t="shared" si="75"/>
        <v>0</v>
      </c>
      <c r="H425" s="2"/>
      <c r="I425" s="2">
        <v>0</v>
      </c>
      <c r="J425" s="22">
        <v>0</v>
      </c>
      <c r="K425" s="22">
        <v>0</v>
      </c>
      <c r="L425" s="3" t="s">
        <v>3</v>
      </c>
      <c r="M425" s="337" t="s">
        <v>64</v>
      </c>
    </row>
    <row r="426" spans="1:13" s="75" customFormat="1" ht="24.75" customHeight="1">
      <c r="A426" s="300"/>
      <c r="B426" s="337"/>
      <c r="C426" s="337"/>
      <c r="D426" s="7">
        <v>2018</v>
      </c>
      <c r="E426" s="2">
        <f t="shared" si="74"/>
        <v>5870.4</v>
      </c>
      <c r="F426" s="2">
        <v>5870.4</v>
      </c>
      <c r="G426" s="2">
        <f t="shared" si="75"/>
        <v>0</v>
      </c>
      <c r="H426" s="2"/>
      <c r="I426" s="2">
        <v>0</v>
      </c>
      <c r="J426" s="22">
        <v>0</v>
      </c>
      <c r="K426" s="22">
        <v>0</v>
      </c>
      <c r="L426" s="3" t="s">
        <v>3</v>
      </c>
      <c r="M426" s="337"/>
    </row>
    <row r="427" spans="1:13" s="75" customFormat="1" ht="24.75" customHeight="1">
      <c r="A427" s="300"/>
      <c r="B427" s="337"/>
      <c r="C427" s="337"/>
      <c r="D427" s="7">
        <v>2019</v>
      </c>
      <c r="E427" s="2">
        <f t="shared" si="74"/>
        <v>6295.7</v>
      </c>
      <c r="F427" s="2">
        <f>5735.3+560.4</f>
        <v>6295.7</v>
      </c>
      <c r="G427" s="2">
        <f t="shared" si="75"/>
        <v>0</v>
      </c>
      <c r="H427" s="2"/>
      <c r="I427" s="2">
        <v>0</v>
      </c>
      <c r="J427" s="22">
        <v>0</v>
      </c>
      <c r="K427" s="22">
        <v>0</v>
      </c>
      <c r="L427" s="3" t="s">
        <v>3</v>
      </c>
      <c r="M427" s="337"/>
    </row>
    <row r="428" spans="1:13" s="75" customFormat="1" ht="24.75" customHeight="1">
      <c r="A428" s="300"/>
      <c r="B428" s="337"/>
      <c r="C428" s="337"/>
      <c r="D428" s="7">
        <v>2020</v>
      </c>
      <c r="E428" s="2">
        <f>F428+G428+J428+K428</f>
        <v>6203.9</v>
      </c>
      <c r="F428" s="2">
        <v>6203.9</v>
      </c>
      <c r="G428" s="2">
        <f>H428+I428</f>
        <v>0</v>
      </c>
      <c r="H428" s="2"/>
      <c r="I428" s="2">
        <v>0</v>
      </c>
      <c r="J428" s="22">
        <v>0</v>
      </c>
      <c r="K428" s="22">
        <v>0</v>
      </c>
      <c r="L428" s="3" t="s">
        <v>3</v>
      </c>
      <c r="M428" s="337"/>
    </row>
    <row r="429" spans="1:13" s="75" customFormat="1" ht="24.75" customHeight="1">
      <c r="A429" s="338"/>
      <c r="B429" s="339"/>
      <c r="C429" s="339"/>
      <c r="D429" s="56">
        <v>2021</v>
      </c>
      <c r="E429" s="57">
        <f>F429+G429+J429+K429</f>
        <v>6216.1</v>
      </c>
      <c r="F429" s="57">
        <v>6216.1</v>
      </c>
      <c r="G429" s="57">
        <f>H429+I429</f>
        <v>0</v>
      </c>
      <c r="H429" s="57"/>
      <c r="I429" s="57">
        <v>0</v>
      </c>
      <c r="J429" s="58">
        <v>0</v>
      </c>
      <c r="K429" s="58">
        <v>0</v>
      </c>
      <c r="L429" s="59" t="s">
        <v>3</v>
      </c>
      <c r="M429" s="339"/>
    </row>
    <row r="430" spans="1:13" s="75" customFormat="1" ht="24.75" customHeight="1" thickBot="1">
      <c r="A430" s="338"/>
      <c r="B430" s="339"/>
      <c r="C430" s="339"/>
      <c r="D430" s="56">
        <v>2022</v>
      </c>
      <c r="E430" s="57">
        <f t="shared" si="74"/>
        <v>6216.1</v>
      </c>
      <c r="F430" s="57">
        <v>6216.1</v>
      </c>
      <c r="G430" s="57">
        <f t="shared" si="75"/>
        <v>0</v>
      </c>
      <c r="H430" s="57"/>
      <c r="I430" s="57">
        <v>0</v>
      </c>
      <c r="J430" s="58">
        <v>0</v>
      </c>
      <c r="K430" s="58">
        <v>0</v>
      </c>
      <c r="L430" s="59" t="s">
        <v>3</v>
      </c>
      <c r="M430" s="339"/>
    </row>
    <row r="431" spans="1:13" s="75" customFormat="1" ht="30.75" customHeight="1">
      <c r="A431" s="340"/>
      <c r="B431" s="309" t="s">
        <v>37</v>
      </c>
      <c r="C431" s="309"/>
      <c r="D431" s="60">
        <v>2017</v>
      </c>
      <c r="E431" s="61">
        <f t="shared" si="74"/>
        <v>5780.3</v>
      </c>
      <c r="F431" s="61">
        <f aca="true" t="shared" si="76" ref="F431:H433">F413+F419+F425</f>
        <v>5683.5</v>
      </c>
      <c r="G431" s="61">
        <f>H431+I431</f>
        <v>96.8</v>
      </c>
      <c r="H431" s="61">
        <f aca="true" t="shared" si="77" ref="H431:K435">H413+H419+H425</f>
        <v>0</v>
      </c>
      <c r="I431" s="61">
        <f t="shared" si="77"/>
        <v>96.8</v>
      </c>
      <c r="J431" s="61">
        <v>0</v>
      </c>
      <c r="K431" s="61">
        <v>0</v>
      </c>
      <c r="L431" s="62"/>
      <c r="M431" s="63"/>
    </row>
    <row r="432" spans="1:13" s="75" customFormat="1" ht="30.75" customHeight="1">
      <c r="A432" s="341"/>
      <c r="B432" s="310"/>
      <c r="C432" s="310"/>
      <c r="D432" s="7">
        <v>2018</v>
      </c>
      <c r="E432" s="10">
        <f>F432+G432+J432+K432</f>
        <v>6230.9</v>
      </c>
      <c r="F432" s="10">
        <f t="shared" si="76"/>
        <v>6103.599999999999</v>
      </c>
      <c r="G432" s="10">
        <f>H432+I432</f>
        <v>127.3</v>
      </c>
      <c r="H432" s="10">
        <f t="shared" si="77"/>
        <v>0</v>
      </c>
      <c r="I432" s="10">
        <f t="shared" si="77"/>
        <v>127.3</v>
      </c>
      <c r="J432" s="10">
        <v>0</v>
      </c>
      <c r="K432" s="10">
        <v>0</v>
      </c>
      <c r="L432" s="3"/>
      <c r="M432" s="64"/>
    </row>
    <row r="433" spans="1:13" s="75" customFormat="1" ht="30.75" customHeight="1">
      <c r="A433" s="341"/>
      <c r="B433" s="310"/>
      <c r="C433" s="310"/>
      <c r="D433" s="7">
        <v>2019</v>
      </c>
      <c r="E433" s="10">
        <f aca="true" t="shared" si="78" ref="E433:K436">E415+E421+E427</f>
        <v>6710.3</v>
      </c>
      <c r="F433" s="10">
        <f t="shared" si="76"/>
        <v>6577.599999999999</v>
      </c>
      <c r="G433" s="10">
        <f t="shared" si="76"/>
        <v>132.7</v>
      </c>
      <c r="H433" s="10">
        <f t="shared" si="76"/>
        <v>0</v>
      </c>
      <c r="I433" s="10">
        <f>I415+I421+I427</f>
        <v>132.7</v>
      </c>
      <c r="J433" s="10">
        <f>J415+J421+J427</f>
        <v>0</v>
      </c>
      <c r="K433" s="10">
        <f>K415+K421+K427</f>
        <v>0</v>
      </c>
      <c r="L433" s="3"/>
      <c r="M433" s="64"/>
    </row>
    <row r="434" spans="1:13" s="75" customFormat="1" ht="30.75" customHeight="1">
      <c r="A434" s="341"/>
      <c r="B434" s="310"/>
      <c r="C434" s="310"/>
      <c r="D434" s="7">
        <v>2020</v>
      </c>
      <c r="E434" s="10">
        <f t="shared" si="78"/>
        <v>6554.5</v>
      </c>
      <c r="F434" s="10">
        <f>F416+F422+F428</f>
        <v>6554.5</v>
      </c>
      <c r="G434" s="10">
        <f t="shared" si="78"/>
        <v>0</v>
      </c>
      <c r="H434" s="10">
        <f t="shared" si="78"/>
        <v>0</v>
      </c>
      <c r="I434" s="10">
        <f t="shared" si="77"/>
        <v>0</v>
      </c>
      <c r="J434" s="10">
        <f t="shared" si="77"/>
        <v>0</v>
      </c>
      <c r="K434" s="10">
        <f t="shared" si="77"/>
        <v>0</v>
      </c>
      <c r="L434" s="3"/>
      <c r="M434" s="64"/>
    </row>
    <row r="435" spans="1:13" s="75" customFormat="1" ht="30.75" customHeight="1" thickBot="1">
      <c r="A435" s="342"/>
      <c r="B435" s="311"/>
      <c r="C435" s="311"/>
      <c r="D435" s="65">
        <v>2021</v>
      </c>
      <c r="E435" s="66">
        <f t="shared" si="78"/>
        <v>6567.400000000001</v>
      </c>
      <c r="F435" s="66">
        <f t="shared" si="78"/>
        <v>6567.400000000001</v>
      </c>
      <c r="G435" s="66">
        <f t="shared" si="78"/>
        <v>0</v>
      </c>
      <c r="H435" s="66">
        <f t="shared" si="78"/>
        <v>0</v>
      </c>
      <c r="I435" s="66">
        <f t="shared" si="77"/>
        <v>0</v>
      </c>
      <c r="J435" s="66">
        <f t="shared" si="77"/>
        <v>0</v>
      </c>
      <c r="K435" s="66">
        <f t="shared" si="77"/>
        <v>0</v>
      </c>
      <c r="L435" s="59"/>
      <c r="M435" s="108"/>
    </row>
    <row r="436" spans="1:13" s="75" customFormat="1" ht="30.75" customHeight="1" thickBot="1">
      <c r="A436" s="343"/>
      <c r="B436" s="312"/>
      <c r="C436" s="312"/>
      <c r="D436" s="65">
        <v>2022</v>
      </c>
      <c r="E436" s="66">
        <f t="shared" si="78"/>
        <v>6567.400000000001</v>
      </c>
      <c r="F436" s="66">
        <f t="shared" si="78"/>
        <v>6567.400000000001</v>
      </c>
      <c r="G436" s="66">
        <f t="shared" si="78"/>
        <v>0</v>
      </c>
      <c r="H436" s="66">
        <f t="shared" si="78"/>
        <v>0</v>
      </c>
      <c r="I436" s="66">
        <f t="shared" si="78"/>
        <v>0</v>
      </c>
      <c r="J436" s="66">
        <f t="shared" si="78"/>
        <v>0</v>
      </c>
      <c r="K436" s="66">
        <f t="shared" si="78"/>
        <v>0</v>
      </c>
      <c r="L436" s="67"/>
      <c r="M436" s="68"/>
    </row>
    <row r="437" spans="1:13" s="75" customFormat="1" ht="30.75" customHeight="1" thickBot="1">
      <c r="A437" s="104"/>
      <c r="B437" s="317"/>
      <c r="C437" s="318"/>
      <c r="D437" s="88"/>
      <c r="E437" s="12"/>
      <c r="F437" s="12"/>
      <c r="G437" s="24"/>
      <c r="H437" s="12"/>
      <c r="I437" s="12"/>
      <c r="J437" s="12"/>
      <c r="K437" s="40"/>
      <c r="L437" s="3"/>
      <c r="M437" s="227"/>
    </row>
    <row r="438" spans="1:13" s="75" customFormat="1" ht="37.5" customHeight="1">
      <c r="A438" s="308"/>
      <c r="B438" s="325" t="s">
        <v>31</v>
      </c>
      <c r="C438" s="326"/>
      <c r="D438" s="79" t="s">
        <v>117</v>
      </c>
      <c r="E438" s="69">
        <f aca="true" t="shared" si="79" ref="E438:K438">SUM(E439:E444)</f>
        <v>1576194.42324</v>
      </c>
      <c r="F438" s="69">
        <f t="shared" si="79"/>
        <v>887220.0999999999</v>
      </c>
      <c r="G438" s="69">
        <f t="shared" si="79"/>
        <v>22219.134</v>
      </c>
      <c r="H438" s="69">
        <f t="shared" si="79"/>
        <v>10323.2</v>
      </c>
      <c r="I438" s="69">
        <f t="shared" si="79"/>
        <v>11895.934</v>
      </c>
      <c r="J438" s="69">
        <f>SUM(J439:J444)</f>
        <v>666755.1892400001</v>
      </c>
      <c r="K438" s="69">
        <f t="shared" si="79"/>
        <v>0</v>
      </c>
      <c r="L438" s="89"/>
      <c r="M438" s="78"/>
    </row>
    <row r="439" spans="1:13" s="75" customFormat="1" ht="33" customHeight="1">
      <c r="A439" s="308"/>
      <c r="B439" s="327"/>
      <c r="C439" s="328"/>
      <c r="D439" s="7">
        <v>2017</v>
      </c>
      <c r="E439" s="10">
        <f>F439+G439+J439+K439</f>
        <v>259771.653</v>
      </c>
      <c r="F439" s="10">
        <f aca="true" t="shared" si="80" ref="F439:K439">F194+F318+F395+F404+F431</f>
        <v>130298.7</v>
      </c>
      <c r="G439" s="10">
        <f t="shared" si="80"/>
        <v>1029</v>
      </c>
      <c r="H439" s="10">
        <f t="shared" si="80"/>
        <v>0</v>
      </c>
      <c r="I439" s="10">
        <f t="shared" si="80"/>
        <v>1029</v>
      </c>
      <c r="J439" s="10">
        <f t="shared" si="80"/>
        <v>128443.953</v>
      </c>
      <c r="K439" s="10">
        <f t="shared" si="80"/>
        <v>0</v>
      </c>
      <c r="L439" s="49"/>
      <c r="M439" s="23"/>
    </row>
    <row r="440" spans="1:13" s="75" customFormat="1" ht="30.75" customHeight="1">
      <c r="A440" s="308"/>
      <c r="B440" s="327"/>
      <c r="C440" s="328"/>
      <c r="D440" s="7">
        <v>2018</v>
      </c>
      <c r="E440" s="10">
        <f>F440+G440+J440+K440</f>
        <v>256780.11129000003</v>
      </c>
      <c r="F440" s="10">
        <f aca="true" t="shared" si="81" ref="F440:H442">F195+F319+F396+F405+F432</f>
        <v>143448.1</v>
      </c>
      <c r="G440" s="10">
        <f t="shared" si="81"/>
        <v>1296.482</v>
      </c>
      <c r="H440" s="10">
        <f t="shared" si="81"/>
        <v>0</v>
      </c>
      <c r="I440" s="10">
        <f>I432+I405+I396+I319+I195</f>
        <v>1296.4820000000002</v>
      </c>
      <c r="J440" s="10">
        <f>J432+J405+J396+J319+J195</f>
        <v>112035.52929000002</v>
      </c>
      <c r="K440" s="10">
        <f>K195+K319+K396+K405+K432</f>
        <v>0</v>
      </c>
      <c r="L440" s="49"/>
      <c r="M440" s="23"/>
    </row>
    <row r="441" spans="1:13" s="75" customFormat="1" ht="30.75" customHeight="1">
      <c r="A441" s="308"/>
      <c r="B441" s="327"/>
      <c r="C441" s="328"/>
      <c r="D441" s="7">
        <v>2019</v>
      </c>
      <c r="E441" s="10">
        <f>E196+E320+E397+E406+E433</f>
        <v>274699.70717</v>
      </c>
      <c r="F441" s="10">
        <f t="shared" si="81"/>
        <v>157111.4</v>
      </c>
      <c r="G441" s="10">
        <f t="shared" si="81"/>
        <v>3375.852</v>
      </c>
      <c r="H441" s="10">
        <f t="shared" si="81"/>
        <v>0</v>
      </c>
      <c r="I441" s="10">
        <f aca="true" t="shared" si="82" ref="I441:J444">I196+I320+I397+I406+I433</f>
        <v>3375.852</v>
      </c>
      <c r="J441" s="10">
        <f t="shared" si="82"/>
        <v>114212.45517000003</v>
      </c>
      <c r="K441" s="10">
        <f>K196+K320+K397+K406+K433</f>
        <v>0</v>
      </c>
      <c r="L441" s="49"/>
      <c r="M441" s="23"/>
    </row>
    <row r="442" spans="1:13" s="75" customFormat="1" ht="30.75" customHeight="1">
      <c r="A442" s="308"/>
      <c r="B442" s="327"/>
      <c r="C442" s="328"/>
      <c r="D442" s="7">
        <v>2020</v>
      </c>
      <c r="E442" s="10">
        <f>E197+E321+E398+E407+E434</f>
        <v>271707.96078</v>
      </c>
      <c r="F442" s="10">
        <f t="shared" si="81"/>
        <v>156161.5</v>
      </c>
      <c r="G442" s="10">
        <f t="shared" si="81"/>
        <v>6063.299999999999</v>
      </c>
      <c r="H442" s="10">
        <f t="shared" si="81"/>
        <v>3073.8</v>
      </c>
      <c r="I442" s="10">
        <f t="shared" si="82"/>
        <v>2989.5</v>
      </c>
      <c r="J442" s="10">
        <f t="shared" si="82"/>
        <v>109483.16078</v>
      </c>
      <c r="K442" s="10">
        <f>K197+K321+K398+K407+K434</f>
        <v>0</v>
      </c>
      <c r="L442" s="49"/>
      <c r="M442" s="23"/>
    </row>
    <row r="443" spans="1:13" s="75" customFormat="1" ht="30.75" customHeight="1">
      <c r="A443" s="308"/>
      <c r="B443" s="327"/>
      <c r="C443" s="328"/>
      <c r="D443" s="7">
        <v>2021</v>
      </c>
      <c r="E443" s="10">
        <f>F443+G443+J443+K443</f>
        <v>260821.89899999998</v>
      </c>
      <c r="F443" s="10">
        <f>F198+F322+F399+F408+F435</f>
        <v>150100.19999999998</v>
      </c>
      <c r="G443" s="10">
        <f>H443+I443</f>
        <v>8070.299999999999</v>
      </c>
      <c r="H443" s="10">
        <f>H198+H322+H399+H408+H435</f>
        <v>6413.4</v>
      </c>
      <c r="I443" s="10">
        <f t="shared" si="82"/>
        <v>1656.9</v>
      </c>
      <c r="J443" s="10">
        <f t="shared" si="82"/>
        <v>102651.399</v>
      </c>
      <c r="K443" s="10">
        <f>K198+K322+K399+K408+K435</f>
        <v>0</v>
      </c>
      <c r="L443" s="49"/>
      <c r="M443" s="23"/>
    </row>
    <row r="444" spans="1:13" s="75" customFormat="1" ht="27" customHeight="1">
      <c r="A444" s="308"/>
      <c r="B444" s="329"/>
      <c r="C444" s="330"/>
      <c r="D444" s="7">
        <v>2022</v>
      </c>
      <c r="E444" s="10">
        <f>F444+G444+J444+K444</f>
        <v>252413.092</v>
      </c>
      <c r="F444" s="10">
        <f>F199+F323+F400+F409+F436</f>
        <v>150100.19999999998</v>
      </c>
      <c r="G444" s="10">
        <f>H444+I444</f>
        <v>2384.2</v>
      </c>
      <c r="H444" s="10">
        <f>H199+H323+H400+H409+H436</f>
        <v>836</v>
      </c>
      <c r="I444" s="10">
        <f t="shared" si="82"/>
        <v>1548.2</v>
      </c>
      <c r="J444" s="10">
        <f t="shared" si="82"/>
        <v>99928.692</v>
      </c>
      <c r="K444" s="10">
        <f>K199+K323+K400+K409+K436</f>
        <v>0</v>
      </c>
      <c r="L444" s="49"/>
      <c r="M444" s="23"/>
    </row>
    <row r="445" spans="2:11" ht="25.5" customHeight="1" hidden="1">
      <c r="B445" s="331"/>
      <c r="C445" s="332"/>
      <c r="D445" s="210"/>
      <c r="E445" s="211"/>
      <c r="F445" s="212"/>
      <c r="G445" s="212"/>
      <c r="H445" s="76"/>
      <c r="I445" s="77"/>
      <c r="J445" s="76"/>
      <c r="K445" s="76"/>
    </row>
    <row r="446" spans="2:11" ht="25.5" customHeight="1" hidden="1">
      <c r="B446" s="333"/>
      <c r="C446" s="334"/>
      <c r="D446" s="210"/>
      <c r="E446" s="211"/>
      <c r="F446" s="213"/>
      <c r="G446" s="213"/>
      <c r="H446" s="77"/>
      <c r="I446" s="214"/>
      <c r="J446" s="77" t="s">
        <v>17</v>
      </c>
      <c r="K446" s="77"/>
    </row>
    <row r="447" spans="2:11" ht="15.75" customHeight="1" hidden="1">
      <c r="B447" s="333"/>
      <c r="C447" s="334"/>
      <c r="D447" s="210"/>
      <c r="E447" s="211"/>
      <c r="F447" s="213"/>
      <c r="G447" s="213"/>
      <c r="H447" s="77"/>
      <c r="I447" s="77"/>
      <c r="J447" s="77"/>
      <c r="K447" s="77"/>
    </row>
    <row r="448" spans="2:11" ht="24.75" customHeight="1" hidden="1">
      <c r="B448" s="333"/>
      <c r="C448" s="334"/>
      <c r="D448" s="210"/>
      <c r="E448" s="211"/>
      <c r="F448" s="213"/>
      <c r="G448" s="213"/>
      <c r="H448" s="77"/>
      <c r="I448" s="215"/>
      <c r="J448" s="77" t="s">
        <v>18</v>
      </c>
      <c r="K448" s="77"/>
    </row>
    <row r="449" spans="2:11" ht="13.5" customHeight="1" hidden="1">
      <c r="B449" s="335"/>
      <c r="C449" s="336"/>
      <c r="D449" s="210"/>
      <c r="E449" s="211"/>
      <c r="F449" s="213"/>
      <c r="G449" s="213"/>
      <c r="H449" s="77"/>
      <c r="I449" s="77"/>
      <c r="J449" s="77"/>
      <c r="K449" s="77"/>
    </row>
    <row r="450" spans="4:11" ht="27.75" customHeight="1" hidden="1">
      <c r="D450" s="210"/>
      <c r="E450" s="211"/>
      <c r="F450" s="213"/>
      <c r="G450" s="213"/>
      <c r="H450" s="77"/>
      <c r="I450" s="77"/>
      <c r="J450" s="77" t="s">
        <v>19</v>
      </c>
      <c r="K450" s="77"/>
    </row>
    <row r="451" spans="2:11" ht="18.75" customHeight="1" hidden="1">
      <c r="B451" s="83"/>
      <c r="C451" s="216"/>
      <c r="D451" s="210"/>
      <c r="E451" s="211"/>
      <c r="F451" s="213"/>
      <c r="G451" s="213"/>
      <c r="H451" s="77"/>
      <c r="I451" s="77"/>
      <c r="J451" s="77"/>
      <c r="K451" s="77"/>
    </row>
    <row r="452" spans="2:11" ht="18.75" customHeight="1" hidden="1">
      <c r="B452" s="77"/>
      <c r="C452" s="210"/>
      <c r="D452" s="210"/>
      <c r="E452" s="211"/>
      <c r="F452" s="213"/>
      <c r="G452" s="213"/>
      <c r="H452" s="77"/>
      <c r="I452" s="77"/>
      <c r="J452" s="77"/>
      <c r="K452" s="77"/>
    </row>
    <row r="453" spans="2:11" ht="27" customHeight="1" hidden="1">
      <c r="B453" s="77"/>
      <c r="C453" s="210"/>
      <c r="D453" s="210"/>
      <c r="E453" s="211"/>
      <c r="F453" s="213"/>
      <c r="G453" s="213"/>
      <c r="H453" s="77"/>
      <c r="I453" s="77"/>
      <c r="J453" s="77" t="s">
        <v>20</v>
      </c>
      <c r="K453" s="77"/>
    </row>
    <row r="454" spans="2:8" ht="22.5" hidden="1">
      <c r="B454" s="77"/>
      <c r="C454" s="210"/>
      <c r="D454" s="210"/>
      <c r="E454" s="211"/>
      <c r="F454" s="217"/>
      <c r="G454" s="217"/>
      <c r="H454" s="83"/>
    </row>
    <row r="455" spans="2:5" ht="18" customHeight="1" hidden="1">
      <c r="B455" s="77"/>
      <c r="C455" s="210"/>
      <c r="D455" s="218"/>
      <c r="E455" s="211"/>
    </row>
    <row r="456" spans="2:5" ht="22.5" hidden="1">
      <c r="B456" s="77"/>
      <c r="C456" s="210"/>
      <c r="E456" s="211"/>
    </row>
    <row r="457" spans="2:9" ht="21" customHeight="1">
      <c r="B457" s="77"/>
      <c r="C457" s="210"/>
      <c r="E457" s="219"/>
      <c r="F457" s="220"/>
      <c r="G457" s="220"/>
      <c r="I457" s="221"/>
    </row>
    <row r="458" spans="2:9" ht="21" customHeight="1">
      <c r="B458" s="77"/>
      <c r="C458" s="210"/>
      <c r="D458" s="216"/>
      <c r="E458" s="219"/>
      <c r="F458" s="222"/>
      <c r="G458" s="222"/>
      <c r="I458" s="223"/>
    </row>
    <row r="459" spans="1:13" s="75" customFormat="1" ht="21" customHeight="1">
      <c r="A459" s="54"/>
      <c r="B459" s="77"/>
      <c r="C459" s="210"/>
      <c r="D459" s="224"/>
      <c r="E459" s="216"/>
      <c r="F459" s="225"/>
      <c r="G459" s="225"/>
      <c r="L459" s="83"/>
      <c r="M459" s="82"/>
    </row>
    <row r="460" spans="1:13" s="75" customFormat="1" ht="18.75" customHeight="1">
      <c r="A460" s="54"/>
      <c r="B460" s="77"/>
      <c r="C460" s="218"/>
      <c r="L460" s="83"/>
      <c r="M460" s="82"/>
    </row>
    <row r="461" spans="1:13" s="75" customFormat="1" ht="22.5" customHeight="1">
      <c r="A461" s="54"/>
      <c r="D461" s="226"/>
      <c r="L461" s="83"/>
      <c r="M461" s="82"/>
    </row>
    <row r="462" spans="1:13" s="75" customFormat="1" ht="18">
      <c r="A462" s="54"/>
      <c r="B462" s="83"/>
      <c r="L462" s="83"/>
      <c r="M462" s="82"/>
    </row>
  </sheetData>
  <sheetProtection/>
  <mergeCells count="225">
    <mergeCell ref="B70:C71"/>
    <mergeCell ref="A70:A71"/>
    <mergeCell ref="K1:M1"/>
    <mergeCell ref="K2:M2"/>
    <mergeCell ref="B3:L3"/>
    <mergeCell ref="A5:A9"/>
    <mergeCell ref="B5:C9"/>
    <mergeCell ref="A56:A61"/>
    <mergeCell ref="B56:C61"/>
    <mergeCell ref="D5:D9"/>
    <mergeCell ref="E5:E9"/>
    <mergeCell ref="F5:J5"/>
    <mergeCell ref="K5:K9"/>
    <mergeCell ref="M5:M9"/>
    <mergeCell ref="F6:F9"/>
    <mergeCell ref="G6:J6"/>
    <mergeCell ref="G7:I7"/>
    <mergeCell ref="J7:J9"/>
    <mergeCell ref="L5:L9"/>
    <mergeCell ref="H8:I8"/>
    <mergeCell ref="G8:G9"/>
    <mergeCell ref="A15:A20"/>
    <mergeCell ref="B15:B20"/>
    <mergeCell ref="M15:M22"/>
    <mergeCell ref="A21:A22"/>
    <mergeCell ref="B21:B22"/>
    <mergeCell ref="A12:M12"/>
    <mergeCell ref="A13:M13"/>
    <mergeCell ref="B10:C10"/>
    <mergeCell ref="A11:M11"/>
    <mergeCell ref="M29:M38"/>
    <mergeCell ref="A27:A28"/>
    <mergeCell ref="B27:B28"/>
    <mergeCell ref="M27:M28"/>
    <mergeCell ref="A23:A26"/>
    <mergeCell ref="B23:B26"/>
    <mergeCell ref="M23:M26"/>
    <mergeCell ref="A14:M14"/>
    <mergeCell ref="E50:E51"/>
    <mergeCell ref="F50:F51"/>
    <mergeCell ref="A39:A40"/>
    <mergeCell ref="B39:B40"/>
    <mergeCell ref="A29:A31"/>
    <mergeCell ref="B29:B31"/>
    <mergeCell ref="K50:K51"/>
    <mergeCell ref="L50:L51"/>
    <mergeCell ref="B41:B44"/>
    <mergeCell ref="A46:M46"/>
    <mergeCell ref="A47:M47"/>
    <mergeCell ref="A48:M48"/>
    <mergeCell ref="A49:M49"/>
    <mergeCell ref="A50:A55"/>
    <mergeCell ref="B50:C55"/>
    <mergeCell ref="D50:D51"/>
    <mergeCell ref="M50:M55"/>
    <mergeCell ref="A62:A67"/>
    <mergeCell ref="B62:C67"/>
    <mergeCell ref="M62:M67"/>
    <mergeCell ref="A68:A69"/>
    <mergeCell ref="B68:C69"/>
    <mergeCell ref="G50:G51"/>
    <mergeCell ref="H50:H51"/>
    <mergeCell ref="I50:I51"/>
    <mergeCell ref="J50:J51"/>
    <mergeCell ref="A72:A77"/>
    <mergeCell ref="B72:C77"/>
    <mergeCell ref="M72:M77"/>
    <mergeCell ref="A78:A84"/>
    <mergeCell ref="B78:C84"/>
    <mergeCell ref="M78:M81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A85:A90"/>
    <mergeCell ref="B85:C90"/>
    <mergeCell ref="M85:M90"/>
    <mergeCell ref="A91:A97"/>
    <mergeCell ref="B91:C97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7"/>
    <mergeCell ref="A98:A103"/>
    <mergeCell ref="B98:C103"/>
    <mergeCell ref="M98:M103"/>
    <mergeCell ref="A104:A150"/>
    <mergeCell ref="B104:C150"/>
    <mergeCell ref="D104:D110"/>
    <mergeCell ref="E104:E110"/>
    <mergeCell ref="M104:M173"/>
    <mergeCell ref="D111:D118"/>
    <mergeCell ref="E111:E118"/>
    <mergeCell ref="D119:D126"/>
    <mergeCell ref="E119:E126"/>
    <mergeCell ref="D127:D134"/>
    <mergeCell ref="E127:E134"/>
    <mergeCell ref="D135:D142"/>
    <mergeCell ref="E135:E142"/>
    <mergeCell ref="D143:D150"/>
    <mergeCell ref="E143:E150"/>
    <mergeCell ref="A151:A181"/>
    <mergeCell ref="B151:C181"/>
    <mergeCell ref="D151:D157"/>
    <mergeCell ref="E151:E157"/>
    <mergeCell ref="D158:D165"/>
    <mergeCell ref="E158:E165"/>
    <mergeCell ref="D166:D173"/>
    <mergeCell ref="E166:E173"/>
    <mergeCell ref="D174:D181"/>
    <mergeCell ref="E174:E181"/>
    <mergeCell ref="A182:A187"/>
    <mergeCell ref="B182:C187"/>
    <mergeCell ref="M182:M187"/>
    <mergeCell ref="B188:C188"/>
    <mergeCell ref="B189:C189"/>
    <mergeCell ref="B190:C190"/>
    <mergeCell ref="B191:C191"/>
    <mergeCell ref="B192:C192"/>
    <mergeCell ref="B193:C193"/>
    <mergeCell ref="A194:A199"/>
    <mergeCell ref="B194:C199"/>
    <mergeCell ref="M194:M199"/>
    <mergeCell ref="A200:M200"/>
    <mergeCell ref="A201:M201"/>
    <mergeCell ref="A202:M202"/>
    <mergeCell ref="A203:M203"/>
    <mergeCell ref="A204:A255"/>
    <mergeCell ref="B204:B236"/>
    <mergeCell ref="M204:M262"/>
    <mergeCell ref="L207:L212"/>
    <mergeCell ref="B247:B248"/>
    <mergeCell ref="B249:B250"/>
    <mergeCell ref="B252:B255"/>
    <mergeCell ref="A256:A257"/>
    <mergeCell ref="B256:B257"/>
    <mergeCell ref="D256:D257"/>
    <mergeCell ref="A258:A259"/>
    <mergeCell ref="B258:B259"/>
    <mergeCell ref="D258:D259"/>
    <mergeCell ref="A260:A262"/>
    <mergeCell ref="B260:B262"/>
    <mergeCell ref="D260:D262"/>
    <mergeCell ref="L260:L261"/>
    <mergeCell ref="A263:A279"/>
    <mergeCell ref="B263:B279"/>
    <mergeCell ref="M263:M270"/>
    <mergeCell ref="M271:M279"/>
    <mergeCell ref="A280:A283"/>
    <mergeCell ref="B280:B283"/>
    <mergeCell ref="A284:A285"/>
    <mergeCell ref="M284:M285"/>
    <mergeCell ref="M287:M288"/>
    <mergeCell ref="A288:A290"/>
    <mergeCell ref="B292:C292"/>
    <mergeCell ref="B293:C293"/>
    <mergeCell ref="M293:M294"/>
    <mergeCell ref="B294:C294"/>
    <mergeCell ref="B318:C323"/>
    <mergeCell ref="A324:M324"/>
    <mergeCell ref="A325:M325"/>
    <mergeCell ref="A326:K326"/>
    <mergeCell ref="A295:A297"/>
    <mergeCell ref="B295:C297"/>
    <mergeCell ref="A298:A301"/>
    <mergeCell ref="B298:B301"/>
    <mergeCell ref="A302:A307"/>
    <mergeCell ref="B302:B307"/>
    <mergeCell ref="M404:M409"/>
    <mergeCell ref="M327:M391"/>
    <mergeCell ref="A338:A391"/>
    <mergeCell ref="B338:C391"/>
    <mergeCell ref="D338:D345"/>
    <mergeCell ref="D346:D351"/>
    <mergeCell ref="D352:D361"/>
    <mergeCell ref="D362:D371"/>
    <mergeCell ref="D382:D391"/>
    <mergeCell ref="A438:A444"/>
    <mergeCell ref="B438:C444"/>
    <mergeCell ref="B445:C449"/>
    <mergeCell ref="A419:A424"/>
    <mergeCell ref="B419:C424"/>
    <mergeCell ref="M419:M424"/>
    <mergeCell ref="A425:A430"/>
    <mergeCell ref="B425:C430"/>
    <mergeCell ref="M425:M430"/>
    <mergeCell ref="A431:A436"/>
    <mergeCell ref="B437:C437"/>
    <mergeCell ref="A410:M410"/>
    <mergeCell ref="A411:M411"/>
    <mergeCell ref="A412:M412"/>
    <mergeCell ref="A413:A418"/>
    <mergeCell ref="B413:C418"/>
    <mergeCell ref="M413:M418"/>
    <mergeCell ref="B316:C316"/>
    <mergeCell ref="A318:A323"/>
    <mergeCell ref="B431:C436"/>
    <mergeCell ref="A395:A400"/>
    <mergeCell ref="B395:C400"/>
    <mergeCell ref="A401:M401"/>
    <mergeCell ref="A402:L402"/>
    <mergeCell ref="A403:M403"/>
    <mergeCell ref="A404:A409"/>
    <mergeCell ref="B404:C409"/>
    <mergeCell ref="B237:B246"/>
    <mergeCell ref="A392:A394"/>
    <mergeCell ref="B392:C394"/>
    <mergeCell ref="A312:A315"/>
    <mergeCell ref="B313:C313"/>
    <mergeCell ref="B314:C314"/>
    <mergeCell ref="B315:C315"/>
    <mergeCell ref="B312:C312"/>
    <mergeCell ref="A327:A336"/>
    <mergeCell ref="B327:C336"/>
  </mergeCells>
  <printOptions/>
  <pageMargins left="0.35433070866141736" right="0.2755905511811024" top="0.7480314960629921" bottom="0.15748031496062992" header="0.15748031496062992" footer="0.15748031496062992"/>
  <pageSetup horizontalDpi="600" verticalDpi="600" orientation="landscape" paperSize="9" scale="40" r:id="rId1"/>
  <rowBreaks count="5" manualBreakCount="5">
    <brk id="130" max="12" man="1"/>
    <brk id="187" max="12" man="1"/>
    <brk id="199" max="12" man="1"/>
    <brk id="376" max="12" man="1"/>
    <brk id="4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2020-08-06T08:47:37Z</cp:lastPrinted>
  <dcterms:created xsi:type="dcterms:W3CDTF">2010-09-22T11:49:59Z</dcterms:created>
  <dcterms:modified xsi:type="dcterms:W3CDTF">2020-08-11T12:07:34Z</dcterms:modified>
  <cp:category/>
  <cp:version/>
  <cp:contentType/>
  <cp:contentStatus/>
</cp:coreProperties>
</file>