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2120" windowHeight="7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'Лист1'!$A$1:$S$40</definedName>
  </definedNames>
  <calcPr fullCalcOnLoad="1" fullPrecision="0"/>
</workbook>
</file>

<file path=xl/sharedStrings.xml><?xml version="1.0" encoding="utf-8"?>
<sst xmlns="http://schemas.openxmlformats.org/spreadsheetml/2006/main" count="90" uniqueCount="82">
  <si>
    <t>№</t>
  </si>
  <si>
    <t xml:space="preserve">Наименование учреждения </t>
  </si>
  <si>
    <t>п/п</t>
  </si>
  <si>
    <t>Гкал.</t>
  </si>
  <si>
    <t>тыс.руб.</t>
  </si>
  <si>
    <t>тыс.квт/час.</t>
  </si>
  <si>
    <t>м3</t>
  </si>
  <si>
    <t>х/вода т.р.</t>
  </si>
  <si>
    <t>стоки т.р.</t>
  </si>
  <si>
    <t>тн.</t>
  </si>
  <si>
    <t>тыс.руб</t>
  </si>
  <si>
    <t>Управление образования</t>
  </si>
  <si>
    <t>2.1.</t>
  </si>
  <si>
    <t>2.2.</t>
  </si>
  <si>
    <t>2.3.</t>
  </si>
  <si>
    <t>2.4.</t>
  </si>
  <si>
    <t>2.5.</t>
  </si>
  <si>
    <t>2.6.</t>
  </si>
  <si>
    <t>Управление КиС</t>
  </si>
  <si>
    <t>ИТОГО :</t>
  </si>
  <si>
    <t>МОУ "Начальная школа"</t>
  </si>
  <si>
    <t xml:space="preserve">Электроэнергия        </t>
  </si>
  <si>
    <t xml:space="preserve">Холодная вода и сточные воды   </t>
  </si>
  <si>
    <t xml:space="preserve">    Газ </t>
  </si>
  <si>
    <t>в т.ч.спортплощадка 1 кв. шк.1</t>
  </si>
  <si>
    <t xml:space="preserve">Согласовано: </t>
  </si>
  <si>
    <t>МКУ "УАЗ"</t>
  </si>
  <si>
    <r>
      <t xml:space="preserve">    </t>
    </r>
    <r>
      <rPr>
        <b/>
        <sz val="12"/>
        <rFont val="Times New Roman"/>
        <family val="1"/>
      </rPr>
      <t xml:space="preserve">Теплоэнергия       </t>
    </r>
  </si>
  <si>
    <t xml:space="preserve">    -МБОУ  СОШ  №1</t>
  </si>
  <si>
    <t xml:space="preserve">  -МБОУ  СОШ  №2</t>
  </si>
  <si>
    <t>- МБДОУ   ЦРР детсад №3</t>
  </si>
  <si>
    <t>- МБДОУ ЦРР детсад №5</t>
  </si>
  <si>
    <t>- МБДОУ ЦРР детсад №6</t>
  </si>
  <si>
    <t xml:space="preserve">                МОУДОД   ДШИ</t>
  </si>
  <si>
    <t>МОУДОД  ДЮСШ  ( с бассейном и спортзалом)</t>
  </si>
  <si>
    <t>МБУК  ЦДМ</t>
  </si>
  <si>
    <r>
      <t xml:space="preserve">           </t>
    </r>
    <r>
      <rPr>
        <b/>
        <sz val="11"/>
        <rFont val="Times New Roman"/>
        <family val="1"/>
      </rPr>
      <t>МБУК  КЦ  " Досуг"</t>
    </r>
  </si>
  <si>
    <t>МБУК  ПКиО</t>
  </si>
  <si>
    <t xml:space="preserve">МБУК  МСДЦ </t>
  </si>
  <si>
    <t>Председатель МКУ "ГКМХ"</t>
  </si>
  <si>
    <t>1.1.</t>
  </si>
  <si>
    <t>1.2.</t>
  </si>
  <si>
    <t>1.3.</t>
  </si>
  <si>
    <t>1.4.</t>
  </si>
  <si>
    <t>1.5.</t>
  </si>
  <si>
    <t>1.6.</t>
  </si>
  <si>
    <t>1.7.</t>
  </si>
  <si>
    <t>2.7.</t>
  </si>
  <si>
    <t xml:space="preserve">ВСЕГО  необходимо бюджетных средств  (тыс.руб.)                              </t>
  </si>
  <si>
    <t>МКУ "Дорожник"</t>
  </si>
  <si>
    <t>т.м3</t>
  </si>
  <si>
    <t>Горячее водоснабжение</t>
  </si>
  <si>
    <t>Зам. главы администрации города, начальник финуправления                                     О.М.Горшкова</t>
  </si>
  <si>
    <t>- МБОУ ДОД  ЦВР"ЛАД"</t>
  </si>
  <si>
    <t xml:space="preserve">Стоим.1м3 с НДС:  1.Образование–              5,4306432
</t>
  </si>
  <si>
    <t>Компонент тепловая энергия  на подогрев</t>
  </si>
  <si>
    <t xml:space="preserve">Компонент холодная  вода </t>
  </si>
  <si>
    <t>3.1</t>
  </si>
  <si>
    <t>3.2</t>
  </si>
  <si>
    <t>3.3</t>
  </si>
  <si>
    <t>3.4</t>
  </si>
  <si>
    <t>архив, д.32</t>
  </si>
  <si>
    <t>гаражи</t>
  </si>
  <si>
    <t>помещения,занимаемые учреждениями в здании №55,финансируемые за счет средств городского бюджета, КПП, диспетчерская служба, комната для водителей</t>
  </si>
  <si>
    <t>в том числе:</t>
  </si>
  <si>
    <t xml:space="preserve"> комнаты приезжих</t>
  </si>
  <si>
    <t>Стоимость 1 м3  с НДС по двухкомпонентному тарифу: по стоимости теплоэнергии  и  х/воды</t>
  </si>
  <si>
    <t>Условное         топливо (твердое топливо)</t>
  </si>
  <si>
    <t xml:space="preserve">                 В.А.Попов</t>
  </si>
  <si>
    <t>Приложение</t>
  </si>
  <si>
    <t xml:space="preserve"> к постановлению  администрации ЗАТО г.Радужный</t>
  </si>
  <si>
    <t>5,2 руб./кВт.час.</t>
  </si>
  <si>
    <t xml:space="preserve">Всего  средств на  оплату  энергоресурсов  в 2015г. </t>
  </si>
  <si>
    <t xml:space="preserve">Итого  на 2015г. </t>
  </si>
  <si>
    <r>
      <t xml:space="preserve">Лимиты  потребления энергоресурсов  муниципальными  </t>
    </r>
    <r>
      <rPr>
        <sz val="18"/>
        <color indexed="8"/>
        <rFont val="Times New Roman"/>
        <family val="1"/>
      </rPr>
      <t xml:space="preserve">учреждениями  </t>
    </r>
  </si>
  <si>
    <t>МКУ "Дорожник" (Полигон ТБО)</t>
  </si>
  <si>
    <t>МКУ "УГОЧС"</t>
  </si>
  <si>
    <t xml:space="preserve"> Хол. вода стоим.1м3. хол.вода с НДС   с 01.01.2015 г. -24,37 р./27,21р. (Постановление  департамента цен и тарифов от 19.11.2014 г. №48/27, ),       Стоки ( НДС не предусмотр.) с 01.01.2015 - 26,8р./30,18р. (Постановление департамента цен и тарифов от 19.11.2014 г.№48/28)</t>
  </si>
  <si>
    <t xml:space="preserve">стоим.1Гкал. с НДС 1с 01.01.2015 г. 1735,08р./1861,72р.(Постановление департамента цен и тарифов от 03.12.2014г. №54/64                            </t>
  </si>
  <si>
    <t xml:space="preserve">Резерв на увеличение тарифов с 01.07.2015г. </t>
  </si>
  <si>
    <r>
      <t xml:space="preserve"> ЗАТО   г. Радужный    на   2015 г.
</t>
    </r>
    <r>
      <rPr>
        <sz val="14"/>
        <rFont val="Times New Roman"/>
        <family val="1"/>
      </rPr>
      <t>(в новой редакции)</t>
    </r>
  </si>
  <si>
    <r>
      <t xml:space="preserve">от  </t>
    </r>
    <r>
      <rPr>
        <u val="single"/>
        <sz val="14"/>
        <rFont val="Times New Roman"/>
        <family val="1"/>
      </rPr>
      <t xml:space="preserve"> 31.03.2015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493</t>
    </r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</si>
</sst>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0.0000"/>
    <numFmt numFmtId="176" formatCode="[$-FC19]d\ mmmm\ yyyy\ &quot;г.&quot;"/>
    <numFmt numFmtId="177" formatCode="0.0000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Arial Unicode MS"/>
      <family val="2"/>
    </font>
    <font>
      <b/>
      <i/>
      <sz val="10"/>
      <name val="Arial Cyr"/>
      <family val="0"/>
    </font>
    <font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173" fontId="25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73" fontId="25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22" fillId="0" borderId="11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175" fontId="0" fillId="0" borderId="0" xfId="0" applyNumberFormat="1" applyAlignment="1">
      <alignment vertical="top"/>
    </xf>
    <xf numFmtId="173" fontId="31" fillId="0" borderId="11" xfId="0" applyNumberFormat="1" applyFont="1" applyBorder="1" applyAlignment="1">
      <alignment/>
    </xf>
    <xf numFmtId="174" fontId="31" fillId="0" borderId="11" xfId="0" applyNumberFormat="1" applyFont="1" applyBorder="1" applyAlignment="1">
      <alignment/>
    </xf>
    <xf numFmtId="0" fontId="21" fillId="0" borderId="0" xfId="0" applyFont="1" applyAlignment="1">
      <alignment horizontal="center"/>
    </xf>
    <xf numFmtId="173" fontId="0" fillId="0" borderId="0" xfId="0" applyNumberFormat="1" applyAlignment="1">
      <alignment/>
    </xf>
    <xf numFmtId="49" fontId="22" fillId="0" borderId="11" xfId="0" applyNumberFormat="1" applyFont="1" applyBorder="1" applyAlignment="1">
      <alignment horizontal="center" vertical="top" wrapText="1"/>
    </xf>
    <xf numFmtId="173" fontId="25" fillId="0" borderId="11" xfId="0" applyNumberFormat="1" applyFont="1" applyFill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173" fontId="19" fillId="0" borderId="11" xfId="0" applyNumberFormat="1" applyFont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 wrapText="1"/>
    </xf>
    <xf numFmtId="175" fontId="25" fillId="0" borderId="11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top" wrapText="1"/>
    </xf>
    <xf numFmtId="173" fontId="34" fillId="0" borderId="0" xfId="0" applyNumberFormat="1" applyFont="1" applyAlignment="1">
      <alignment/>
    </xf>
    <xf numFmtId="173" fontId="2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73" fontId="30" fillId="0" borderId="11" xfId="0" applyNumberFormat="1" applyFont="1" applyBorder="1" applyAlignment="1">
      <alignment vertical="top" wrapText="1"/>
    </xf>
    <xf numFmtId="173" fontId="26" fillId="0" borderId="0" xfId="0" applyNumberFormat="1" applyFont="1" applyBorder="1" applyAlignment="1">
      <alignment horizontal="left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16" fontId="24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4" fontId="25" fillId="0" borderId="11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 wrapText="1"/>
    </xf>
    <xf numFmtId="174" fontId="23" fillId="0" borderId="0" xfId="0" applyNumberFormat="1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29" fillId="0" borderId="17" xfId="0" applyFont="1" applyBorder="1" applyAlignment="1">
      <alignment/>
    </xf>
    <xf numFmtId="0" fontId="25" fillId="0" borderId="11" xfId="0" applyFont="1" applyBorder="1" applyAlignment="1">
      <alignment/>
    </xf>
    <xf numFmtId="173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right"/>
    </xf>
    <xf numFmtId="4" fontId="25" fillId="0" borderId="11" xfId="0" applyNumberFormat="1" applyFont="1" applyBorder="1" applyAlignment="1">
      <alignment/>
    </xf>
    <xf numFmtId="175" fontId="25" fillId="0" borderId="11" xfId="0" applyNumberFormat="1" applyFont="1" applyBorder="1" applyAlignment="1">
      <alignment vertical="top"/>
    </xf>
    <xf numFmtId="173" fontId="25" fillId="0" borderId="11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top" wrapText="1"/>
    </xf>
    <xf numFmtId="0" fontId="25" fillId="0" borderId="18" xfId="0" applyFont="1" applyFill="1" applyBorder="1" applyAlignment="1">
      <alignment horizontal="right" vertical="top" wrapText="1"/>
    </xf>
    <xf numFmtId="49" fontId="25" fillId="0" borderId="18" xfId="0" applyNumberFormat="1" applyFont="1" applyFill="1" applyBorder="1" applyAlignment="1">
      <alignment horizontal="right" vertical="top" wrapText="1"/>
    </xf>
    <xf numFmtId="49" fontId="22" fillId="0" borderId="18" xfId="0" applyNumberFormat="1" applyFont="1" applyFill="1" applyBorder="1" applyAlignment="1">
      <alignment horizontal="right"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right"/>
    </xf>
    <xf numFmtId="0" fontId="31" fillId="0" borderId="19" xfId="0" applyFont="1" applyFill="1" applyBorder="1" applyAlignment="1">
      <alignment horizontal="right" vertical="top" wrapText="1"/>
    </xf>
    <xf numFmtId="0" fontId="31" fillId="0" borderId="13" xfId="0" applyFont="1" applyFill="1" applyBorder="1" applyAlignment="1">
      <alignment horizontal="right" vertical="top" wrapText="1"/>
    </xf>
    <xf numFmtId="0" fontId="29" fillId="0" borderId="13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9" fillId="0" borderId="2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/>
    </xf>
    <xf numFmtId="172" fontId="25" fillId="0" borderId="11" xfId="0" applyNumberFormat="1" applyFont="1" applyBorder="1" applyAlignment="1">
      <alignment horizontal="center" vertical="top"/>
    </xf>
    <xf numFmtId="173" fontId="25" fillId="0" borderId="11" xfId="0" applyNumberFormat="1" applyFont="1" applyBorder="1" applyAlignment="1">
      <alignment horizontal="center" vertical="top" wrapText="1"/>
    </xf>
    <xf numFmtId="2" fontId="25" fillId="0" borderId="11" xfId="0" applyNumberFormat="1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top"/>
    </xf>
    <xf numFmtId="173" fontId="25" fillId="0" borderId="11" xfId="0" applyNumberFormat="1" applyFont="1" applyBorder="1" applyAlignment="1">
      <alignment horizontal="center" vertical="top"/>
    </xf>
    <xf numFmtId="173" fontId="29" fillId="0" borderId="11" xfId="0" applyNumberFormat="1" applyFont="1" applyBorder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/>
    </xf>
    <xf numFmtId="174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173" fontId="23" fillId="0" borderId="0" xfId="0" applyNumberFormat="1" applyFont="1" applyAlignment="1">
      <alignment/>
    </xf>
    <xf numFmtId="2" fontId="25" fillId="0" borderId="11" xfId="0" applyNumberFormat="1" applyFont="1" applyFill="1" applyBorder="1" applyAlignment="1">
      <alignment horizontal="center" wrapText="1"/>
    </xf>
    <xf numFmtId="172" fontId="25" fillId="0" borderId="11" xfId="0" applyNumberFormat="1" applyFont="1" applyFill="1" applyBorder="1" applyAlignment="1">
      <alignment horizontal="center" wrapText="1"/>
    </xf>
    <xf numFmtId="173" fontId="25" fillId="0" borderId="11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173" fontId="25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72" fontId="25" fillId="0" borderId="11" xfId="0" applyNumberFormat="1" applyFont="1" applyFill="1" applyBorder="1" applyAlignment="1">
      <alignment horizontal="center"/>
    </xf>
    <xf numFmtId="173" fontId="25" fillId="0" borderId="11" xfId="0" applyNumberFormat="1" applyFont="1" applyBorder="1" applyAlignment="1">
      <alignment/>
    </xf>
    <xf numFmtId="172" fontId="19" fillId="0" borderId="11" xfId="0" applyNumberFormat="1" applyFont="1" applyFill="1" applyBorder="1" applyAlignment="1">
      <alignment horizontal="center"/>
    </xf>
    <xf numFmtId="173" fontId="19" fillId="0" borderId="11" xfId="0" applyNumberFormat="1" applyFont="1" applyFill="1" applyBorder="1" applyAlignment="1">
      <alignment horizontal="center" wrapText="1"/>
    </xf>
    <xf numFmtId="2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wrapText="1"/>
    </xf>
    <xf numFmtId="173" fontId="19" fillId="0" borderId="11" xfId="0" applyNumberFormat="1" applyFont="1" applyFill="1" applyBorder="1" applyAlignment="1">
      <alignment horizontal="center"/>
    </xf>
    <xf numFmtId="173" fontId="40" fillId="0" borderId="0" xfId="0" applyNumberFormat="1" applyFont="1" applyAlignment="1">
      <alignment/>
    </xf>
    <xf numFmtId="2" fontId="19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173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2" fillId="0" borderId="18" xfId="0" applyFont="1" applyFill="1" applyBorder="1" applyAlignment="1">
      <alignment horizontal="right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173" fontId="19" fillId="0" borderId="11" xfId="0" applyNumberFormat="1" applyFont="1" applyBorder="1" applyAlignment="1">
      <alignment/>
    </xf>
    <xf numFmtId="177" fontId="25" fillId="0" borderId="11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Border="1" applyAlignment="1">
      <alignment/>
    </xf>
    <xf numFmtId="2" fontId="21" fillId="0" borderId="23" xfId="0" applyNumberFormat="1" applyFont="1" applyBorder="1" applyAlignment="1">
      <alignment horizontal="center" vertical="top" wrapText="1"/>
    </xf>
    <xf numFmtId="2" fontId="21" fillId="0" borderId="24" xfId="0" applyNumberFormat="1" applyFont="1" applyBorder="1" applyAlignment="1">
      <alignment horizontal="center" vertical="top" wrapText="1"/>
    </xf>
    <xf numFmtId="173" fontId="29" fillId="0" borderId="23" xfId="0" applyNumberFormat="1" applyFont="1" applyBorder="1" applyAlignment="1">
      <alignment horizontal="center" vertical="top" wrapText="1"/>
    </xf>
    <xf numFmtId="173" fontId="29" fillId="0" borderId="24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4" fontId="30" fillId="0" borderId="25" xfId="0" applyNumberFormat="1" applyFont="1" applyBorder="1" applyAlignment="1">
      <alignment horizontal="center" vertical="top" wrapText="1"/>
    </xf>
    <xf numFmtId="4" fontId="30" fillId="0" borderId="13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2" fontId="29" fillId="0" borderId="18" xfId="0" applyNumberFormat="1" applyFont="1" applyBorder="1" applyAlignment="1">
      <alignment horizontal="center" vertical="top" wrapText="1"/>
    </xf>
    <xf numFmtId="2" fontId="29" fillId="0" borderId="26" xfId="0" applyNumberFormat="1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2" fontId="32" fillId="0" borderId="23" xfId="0" applyNumberFormat="1" applyFont="1" applyBorder="1" applyAlignment="1">
      <alignment horizontal="center" vertical="top" wrapText="1"/>
    </xf>
    <xf numFmtId="2" fontId="32" fillId="0" borderId="24" xfId="0" applyNumberFormat="1" applyFont="1" applyBorder="1" applyAlignment="1">
      <alignment horizontal="center" vertical="top" wrapText="1"/>
    </xf>
    <xf numFmtId="2" fontId="32" fillId="0" borderId="26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7" xfId="0" applyFont="1" applyBorder="1" applyAlignment="1">
      <alignment vertical="top" wrapText="1"/>
    </xf>
    <xf numFmtId="0" fontId="29" fillId="0" borderId="27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="75" zoomScaleNormal="75" zoomScalePageLayoutView="0" workbookViewId="0" topLeftCell="A1">
      <selection activeCell="U6" sqref="U6"/>
    </sheetView>
  </sheetViews>
  <sheetFormatPr defaultColWidth="9.00390625" defaultRowHeight="12.75"/>
  <cols>
    <col min="1" max="1" width="5.25390625" style="0" customWidth="1"/>
    <col min="2" max="2" width="37.875" style="0" customWidth="1"/>
    <col min="3" max="3" width="13.625" style="0" customWidth="1"/>
    <col min="4" max="4" width="13.00390625" style="0" customWidth="1"/>
    <col min="5" max="5" width="10.375" style="0" customWidth="1"/>
    <col min="6" max="6" width="11.75390625" style="0" customWidth="1"/>
    <col min="7" max="7" width="10.875" style="0" customWidth="1"/>
    <col min="8" max="8" width="10.625" style="0" customWidth="1"/>
    <col min="9" max="9" width="11.00390625" style="0" customWidth="1"/>
    <col min="11" max="11" width="10.125" style="0" customWidth="1"/>
    <col min="12" max="12" width="10.625" style="0" customWidth="1"/>
    <col min="13" max="13" width="12.00390625" style="0" customWidth="1"/>
    <col min="14" max="14" width="13.25390625" style="0" customWidth="1"/>
    <col min="15" max="15" width="6.875" style="0" customWidth="1"/>
    <col min="16" max="16" width="7.25390625" style="0" customWidth="1"/>
    <col min="17" max="17" width="12.625" style="0" customWidth="1"/>
    <col min="18" max="18" width="11.25390625" style="0" customWidth="1"/>
    <col min="19" max="19" width="12.375" style="0" customWidth="1"/>
    <col min="20" max="20" width="11.125" style="0" customWidth="1"/>
    <col min="21" max="21" width="12.625" style="0" customWidth="1"/>
    <col min="22" max="22" width="14.00390625" style="0" bestFit="1" customWidth="1"/>
  </cols>
  <sheetData>
    <row r="1" spans="14:19" ht="18.75">
      <c r="N1" s="140" t="s">
        <v>69</v>
      </c>
      <c r="O1" s="140"/>
      <c r="P1" s="140"/>
      <c r="Q1" s="140"/>
      <c r="R1" s="140"/>
      <c r="S1" s="140"/>
    </row>
    <row r="2" spans="14:19" ht="18.75">
      <c r="N2" s="140" t="s">
        <v>70</v>
      </c>
      <c r="O2" s="140"/>
      <c r="P2" s="140"/>
      <c r="Q2" s="140"/>
      <c r="R2" s="140"/>
      <c r="S2" s="140"/>
    </row>
    <row r="3" spans="2:19" ht="18.75">
      <c r="B3" s="27"/>
      <c r="C3" s="27"/>
      <c r="D3" s="27"/>
      <c r="E3" s="27"/>
      <c r="F3" s="31"/>
      <c r="G3" s="31"/>
      <c r="H3" s="31"/>
      <c r="I3" s="31"/>
      <c r="J3" s="31"/>
      <c r="K3" s="31"/>
      <c r="L3" s="31"/>
      <c r="M3" s="31"/>
      <c r="N3" s="140" t="s">
        <v>81</v>
      </c>
      <c r="O3" s="140"/>
      <c r="P3" s="140"/>
      <c r="Q3" s="140"/>
      <c r="R3" s="140"/>
      <c r="S3" s="140"/>
    </row>
    <row r="4" spans="1:19" ht="31.5" customHeight="1">
      <c r="A4" s="141" t="s">
        <v>74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ht="46.5" customHeight="1">
      <c r="A5" s="141" t="s">
        <v>80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20" ht="31.5" customHeight="1">
      <c r="A6" s="1" t="s">
        <v>0</v>
      </c>
      <c r="B6" s="153" t="s">
        <v>1</v>
      </c>
      <c r="C6" s="145" t="s">
        <v>27</v>
      </c>
      <c r="D6" s="145"/>
      <c r="E6" s="146" t="s">
        <v>21</v>
      </c>
      <c r="F6" s="146"/>
      <c r="G6" s="147" t="s">
        <v>22</v>
      </c>
      <c r="H6" s="147"/>
      <c r="I6" s="147"/>
      <c r="J6" s="161" t="s">
        <v>23</v>
      </c>
      <c r="K6" s="162"/>
      <c r="L6" s="154" t="s">
        <v>51</v>
      </c>
      <c r="M6" s="154"/>
      <c r="N6" s="154"/>
      <c r="O6" s="154" t="s">
        <v>67</v>
      </c>
      <c r="P6" s="154"/>
      <c r="Q6" s="159" t="s">
        <v>72</v>
      </c>
      <c r="R6" s="158" t="s">
        <v>79</v>
      </c>
      <c r="S6" s="158" t="s">
        <v>73</v>
      </c>
      <c r="T6" s="46"/>
    </row>
    <row r="7" spans="1:19" ht="104.25" customHeight="1">
      <c r="A7" s="1" t="s">
        <v>2</v>
      </c>
      <c r="B7" s="153"/>
      <c r="C7" s="148" t="s">
        <v>78</v>
      </c>
      <c r="D7" s="149"/>
      <c r="E7" s="138" t="s">
        <v>71</v>
      </c>
      <c r="F7" s="139"/>
      <c r="G7" s="155" t="s">
        <v>77</v>
      </c>
      <c r="H7" s="156"/>
      <c r="I7" s="157"/>
      <c r="J7" s="136" t="s">
        <v>54</v>
      </c>
      <c r="K7" s="137"/>
      <c r="L7" s="26" t="s">
        <v>56</v>
      </c>
      <c r="M7" s="26" t="s">
        <v>55</v>
      </c>
      <c r="N7" s="26" t="s">
        <v>66</v>
      </c>
      <c r="O7" s="154"/>
      <c r="P7" s="154"/>
      <c r="Q7" s="160"/>
      <c r="R7" s="158"/>
      <c r="S7" s="158"/>
    </row>
    <row r="8" spans="1:19" ht="18.75" customHeight="1">
      <c r="A8" s="2"/>
      <c r="B8" s="153"/>
      <c r="C8" s="9" t="s">
        <v>3</v>
      </c>
      <c r="D8" s="9" t="s">
        <v>4</v>
      </c>
      <c r="E8" s="9" t="s">
        <v>5</v>
      </c>
      <c r="F8" s="9" t="s">
        <v>4</v>
      </c>
      <c r="G8" s="9" t="s">
        <v>6</v>
      </c>
      <c r="H8" s="9" t="s">
        <v>7</v>
      </c>
      <c r="I8" s="9" t="s">
        <v>8</v>
      </c>
      <c r="J8" s="10" t="s">
        <v>50</v>
      </c>
      <c r="K8" s="9" t="s">
        <v>4</v>
      </c>
      <c r="L8" s="9" t="s">
        <v>6</v>
      </c>
      <c r="M8" s="9" t="s">
        <v>3</v>
      </c>
      <c r="N8" s="9" t="s">
        <v>4</v>
      </c>
      <c r="O8" s="25" t="s">
        <v>9</v>
      </c>
      <c r="P8" s="40" t="s">
        <v>10</v>
      </c>
      <c r="Q8" s="11" t="s">
        <v>10</v>
      </c>
      <c r="R8" s="11" t="s">
        <v>10</v>
      </c>
      <c r="S8" s="11" t="s">
        <v>10</v>
      </c>
    </row>
    <row r="9" spans="1:19" ht="15.75" customHeight="1">
      <c r="A9" s="7">
        <v>1</v>
      </c>
      <c r="B9" s="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9">
        <v>16</v>
      </c>
      <c r="Q9" s="90">
        <v>17</v>
      </c>
      <c r="R9" s="67">
        <v>18</v>
      </c>
      <c r="S9" s="67">
        <v>19</v>
      </c>
    </row>
    <row r="10" spans="1:19" ht="15.75">
      <c r="A10" s="4">
        <v>1</v>
      </c>
      <c r="B10" s="74" t="s">
        <v>11</v>
      </c>
      <c r="C10" s="91"/>
      <c r="D10" s="92"/>
      <c r="E10" s="91"/>
      <c r="F10" s="93"/>
      <c r="G10" s="94"/>
      <c r="H10" s="92"/>
      <c r="I10" s="92"/>
      <c r="J10" s="91"/>
      <c r="K10" s="95"/>
      <c r="L10" s="95"/>
      <c r="M10" s="95"/>
      <c r="N10" s="95"/>
      <c r="O10" s="91"/>
      <c r="P10" s="91"/>
      <c r="Q10" s="96"/>
      <c r="R10" s="23"/>
      <c r="S10" s="96"/>
    </row>
    <row r="11" spans="1:25" ht="15.75" customHeight="1">
      <c r="A11" s="52" t="s">
        <v>40</v>
      </c>
      <c r="B11" s="75" t="s">
        <v>28</v>
      </c>
      <c r="C11" s="97">
        <v>620</v>
      </c>
      <c r="D11" s="98">
        <f>(C11/2*1735.08+C11/2*1841.2)/1000</f>
        <v>1108.647</v>
      </c>
      <c r="E11" s="97">
        <v>84</v>
      </c>
      <c r="F11" s="99">
        <f>E11*5.2</f>
        <v>436.8</v>
      </c>
      <c r="G11" s="99">
        <v>1200</v>
      </c>
      <c r="H11" s="98">
        <f>G11/2*24.37/1000+G11/2*27.21/1000</f>
        <v>30.948</v>
      </c>
      <c r="I11" s="99">
        <f>((G11/2*26.8)+(L11/2*30.18))/1000+((G11/2*26.8)+(L11/2*30.18))/1000</f>
        <v>62.34</v>
      </c>
      <c r="J11" s="100"/>
      <c r="K11" s="34"/>
      <c r="L11" s="58">
        <v>1000</v>
      </c>
      <c r="M11" s="58">
        <f>L11*0.061001</f>
        <v>61</v>
      </c>
      <c r="N11" s="58">
        <f>((L11/2*24.37)+(M11/2*1735.08))/1000+((L11/2*27.21)+(M11/2*1861.72))/1000</f>
        <v>135.49</v>
      </c>
      <c r="O11" s="100"/>
      <c r="P11" s="56"/>
      <c r="Q11" s="99">
        <f>D11+F11+H11+I11+N11</f>
        <v>1774.23</v>
      </c>
      <c r="R11" s="68">
        <v>0</v>
      </c>
      <c r="S11" s="69">
        <v>1774.23</v>
      </c>
      <c r="T11" s="32"/>
      <c r="U11" s="32"/>
      <c r="Y11" s="32"/>
    </row>
    <row r="12" spans="1:21" ht="15.75">
      <c r="A12" s="53" t="s">
        <v>41</v>
      </c>
      <c r="B12" s="75" t="s">
        <v>29</v>
      </c>
      <c r="C12" s="97">
        <v>1450</v>
      </c>
      <c r="D12" s="98">
        <f>(C12/2*1735.08+C12/2*1839.79)/1000</f>
        <v>2591.781</v>
      </c>
      <c r="E12" s="97">
        <v>157</v>
      </c>
      <c r="F12" s="99">
        <f aca="true" t="shared" si="0" ref="F12:F34">E12*5.2</f>
        <v>816.4</v>
      </c>
      <c r="G12" s="99">
        <v>1996</v>
      </c>
      <c r="H12" s="98">
        <f aca="true" t="shared" si="1" ref="H12:H17">G12/2*24.37/1000+G12/2*27.21/1000</f>
        <v>51.477</v>
      </c>
      <c r="I12" s="99">
        <f aca="true" t="shared" si="2" ref="I12:I17">((G12/2*26.8)+(L12/2*30.18))/1000+((G12/2*26.8)+(L12/2*30.18))/1000</f>
        <v>98.76</v>
      </c>
      <c r="J12" s="100"/>
      <c r="K12" s="34"/>
      <c r="L12" s="58">
        <v>1500</v>
      </c>
      <c r="M12" s="58">
        <f aca="true" t="shared" si="3" ref="M12:M21">L12*0.061001</f>
        <v>91.5</v>
      </c>
      <c r="N12" s="58">
        <f aca="true" t="shared" si="4" ref="N12:N17">((L12/2*24.37)+(M12/2*1735.08))/1000+((L12/2*27.21)+(M12/2*1861.72))/1000</f>
        <v>203.24</v>
      </c>
      <c r="O12" s="100"/>
      <c r="P12" s="56"/>
      <c r="Q12" s="99">
        <f>D12+F12+H12+I12+N12</f>
        <v>3761.66</v>
      </c>
      <c r="R12" s="68">
        <v>0</v>
      </c>
      <c r="S12" s="69">
        <v>3761.66</v>
      </c>
      <c r="T12" s="32"/>
      <c r="U12" s="32"/>
    </row>
    <row r="13" spans="1:22" ht="15.75">
      <c r="A13" s="53" t="s">
        <v>42</v>
      </c>
      <c r="B13" s="75" t="s">
        <v>20</v>
      </c>
      <c r="C13" s="97">
        <v>8</v>
      </c>
      <c r="D13" s="98">
        <f>((1735.08+1861.72)/2*C13)/1000</f>
        <v>14.387</v>
      </c>
      <c r="E13" s="97">
        <v>60</v>
      </c>
      <c r="F13" s="99">
        <f t="shared" si="0"/>
        <v>312</v>
      </c>
      <c r="G13" s="99">
        <v>500</v>
      </c>
      <c r="H13" s="98">
        <f t="shared" si="1"/>
        <v>12.895</v>
      </c>
      <c r="I13" s="99">
        <f t="shared" si="2"/>
        <v>28.49</v>
      </c>
      <c r="J13" s="101">
        <v>107</v>
      </c>
      <c r="K13" s="58">
        <f>J13*5.4306432</f>
        <v>581.08</v>
      </c>
      <c r="L13" s="58">
        <v>500</v>
      </c>
      <c r="M13" s="58">
        <f t="shared" si="3"/>
        <v>30.5</v>
      </c>
      <c r="N13" s="58">
        <f t="shared" si="4"/>
        <v>67.75</v>
      </c>
      <c r="O13" s="100"/>
      <c r="P13" s="56"/>
      <c r="Q13" s="99">
        <f>D13+F13+H13+I13+K13+N13</f>
        <v>1016.6</v>
      </c>
      <c r="R13" s="68">
        <v>10.62</v>
      </c>
      <c r="S13" s="69">
        <f>Q13+R13</f>
        <v>1027.22</v>
      </c>
      <c r="T13" s="32"/>
      <c r="U13" s="135"/>
      <c r="V13" s="32"/>
    </row>
    <row r="14" spans="1:21" ht="15.75">
      <c r="A14" s="53" t="s">
        <v>43</v>
      </c>
      <c r="B14" s="76" t="s">
        <v>30</v>
      </c>
      <c r="C14" s="97">
        <v>660</v>
      </c>
      <c r="D14" s="98">
        <f>(C14/2*1735.08+C14/2*1842.07)/1000</f>
        <v>1180.46</v>
      </c>
      <c r="E14" s="97">
        <v>90</v>
      </c>
      <c r="F14" s="99">
        <f t="shared" si="0"/>
        <v>468</v>
      </c>
      <c r="G14" s="99">
        <v>2000</v>
      </c>
      <c r="H14" s="98">
        <f t="shared" si="1"/>
        <v>51.58</v>
      </c>
      <c r="I14" s="99">
        <f t="shared" si="2"/>
        <v>83.78</v>
      </c>
      <c r="J14" s="100"/>
      <c r="K14" s="58"/>
      <c r="L14" s="58">
        <v>1000</v>
      </c>
      <c r="M14" s="58">
        <f t="shared" si="3"/>
        <v>61</v>
      </c>
      <c r="N14" s="58">
        <f t="shared" si="4"/>
        <v>135.49</v>
      </c>
      <c r="O14" s="100"/>
      <c r="P14" s="56"/>
      <c r="Q14" s="99">
        <f>D14+F14+H14+I14+N14</f>
        <v>1919.31</v>
      </c>
      <c r="R14" s="68">
        <v>0</v>
      </c>
      <c r="S14" s="69">
        <v>1919.31</v>
      </c>
      <c r="T14" s="32"/>
      <c r="U14" s="32"/>
    </row>
    <row r="15" spans="1:25" ht="15.75">
      <c r="A15" s="53" t="s">
        <v>44</v>
      </c>
      <c r="B15" s="76" t="s">
        <v>31</v>
      </c>
      <c r="C15" s="134">
        <v>9.5468</v>
      </c>
      <c r="D15" s="98">
        <f>((1735.08+1861.72)/2*C15)/1000</f>
        <v>17.169</v>
      </c>
      <c r="E15" s="97">
        <v>150</v>
      </c>
      <c r="F15" s="99">
        <f t="shared" si="0"/>
        <v>780</v>
      </c>
      <c r="G15" s="99">
        <v>5054</v>
      </c>
      <c r="H15" s="98">
        <f t="shared" si="1"/>
        <v>130.343</v>
      </c>
      <c r="I15" s="99">
        <f t="shared" si="2"/>
        <v>301.44</v>
      </c>
      <c r="J15" s="100">
        <v>180</v>
      </c>
      <c r="K15" s="58">
        <f>J15*5.4306432</f>
        <v>977.52</v>
      </c>
      <c r="L15" s="58">
        <v>5500</v>
      </c>
      <c r="M15" s="58">
        <f t="shared" si="3"/>
        <v>335.51</v>
      </c>
      <c r="N15" s="58">
        <f t="shared" si="4"/>
        <v>745.23</v>
      </c>
      <c r="O15" s="100"/>
      <c r="P15" s="56"/>
      <c r="Q15" s="99">
        <f>D15+F15+H15+I15+K15+N15</f>
        <v>2951.7</v>
      </c>
      <c r="R15" s="68">
        <v>0</v>
      </c>
      <c r="S15" s="69">
        <v>2951.7</v>
      </c>
      <c r="T15" s="127"/>
      <c r="U15" s="32"/>
      <c r="X15" s="32"/>
      <c r="Y15" s="32"/>
    </row>
    <row r="16" spans="1:21" ht="15.75">
      <c r="A16" s="53" t="s">
        <v>45</v>
      </c>
      <c r="B16" s="76" t="s">
        <v>32</v>
      </c>
      <c r="C16" s="97">
        <v>660</v>
      </c>
      <c r="D16" s="98">
        <f>(C16/2*1735.08+C16/2*1844.25)/1000</f>
        <v>1181.179</v>
      </c>
      <c r="E16" s="97">
        <v>100</v>
      </c>
      <c r="F16" s="99">
        <f t="shared" si="0"/>
        <v>520</v>
      </c>
      <c r="G16" s="99">
        <v>2800</v>
      </c>
      <c r="H16" s="98">
        <f t="shared" si="1"/>
        <v>72.212</v>
      </c>
      <c r="I16" s="99">
        <f t="shared" si="2"/>
        <v>108.24</v>
      </c>
      <c r="J16" s="100"/>
      <c r="K16" s="58"/>
      <c r="L16" s="58">
        <v>1100</v>
      </c>
      <c r="M16" s="58">
        <f t="shared" si="3"/>
        <v>67.1</v>
      </c>
      <c r="N16" s="58">
        <f t="shared" si="4"/>
        <v>149.04</v>
      </c>
      <c r="O16" s="100"/>
      <c r="P16" s="56"/>
      <c r="Q16" s="99">
        <f aca="true" t="shared" si="5" ref="Q16:Q34">D16+F16+H16+I16+K16+P16+N16</f>
        <v>2030.67</v>
      </c>
      <c r="R16" s="68">
        <v>0</v>
      </c>
      <c r="S16" s="69">
        <v>2030.67</v>
      </c>
      <c r="T16" s="32"/>
      <c r="U16" s="32"/>
    </row>
    <row r="17" spans="1:22" ht="15.75">
      <c r="A17" s="52" t="s">
        <v>46</v>
      </c>
      <c r="B17" s="77" t="s">
        <v>53</v>
      </c>
      <c r="C17" s="99">
        <v>660</v>
      </c>
      <c r="D17" s="98">
        <f>(C17/2*1735.08+C17/2*1858.65)/1000</f>
        <v>1185.931</v>
      </c>
      <c r="E17" s="97">
        <v>85</v>
      </c>
      <c r="F17" s="99">
        <f t="shared" si="0"/>
        <v>442</v>
      </c>
      <c r="G17" s="99">
        <v>100</v>
      </c>
      <c r="H17" s="98">
        <f t="shared" si="1"/>
        <v>2.579</v>
      </c>
      <c r="I17" s="99">
        <f t="shared" si="2"/>
        <v>3.77</v>
      </c>
      <c r="J17" s="100"/>
      <c r="K17" s="58"/>
      <c r="L17" s="58">
        <v>36</v>
      </c>
      <c r="M17" s="58">
        <f t="shared" si="3"/>
        <v>2.2</v>
      </c>
      <c r="N17" s="58">
        <f t="shared" si="4"/>
        <v>4.88</v>
      </c>
      <c r="O17" s="56">
        <v>15</v>
      </c>
      <c r="P17" s="56">
        <v>51.5</v>
      </c>
      <c r="Q17" s="99">
        <f t="shared" si="5"/>
        <v>1690.66</v>
      </c>
      <c r="R17" s="68">
        <v>0</v>
      </c>
      <c r="S17" s="69">
        <v>1690.66</v>
      </c>
      <c r="T17" s="32"/>
      <c r="U17" s="32"/>
      <c r="V17" s="32"/>
    </row>
    <row r="18" spans="1:21" ht="15.75">
      <c r="A18" s="54">
        <v>2</v>
      </c>
      <c r="B18" s="78" t="s">
        <v>18</v>
      </c>
      <c r="C18" s="56"/>
      <c r="D18" s="98"/>
      <c r="E18" s="56"/>
      <c r="F18" s="99"/>
      <c r="G18" s="58"/>
      <c r="H18" s="98"/>
      <c r="I18" s="99"/>
      <c r="J18" s="56"/>
      <c r="K18" s="34"/>
      <c r="L18" s="58"/>
      <c r="M18" s="34"/>
      <c r="N18" s="58"/>
      <c r="O18" s="56"/>
      <c r="P18" s="56"/>
      <c r="Q18" s="99"/>
      <c r="R18" s="68"/>
      <c r="S18" s="69"/>
      <c r="T18" s="123"/>
      <c r="U18" s="32"/>
    </row>
    <row r="19" spans="1:21" s="5" customFormat="1" ht="31.5">
      <c r="A19" s="52" t="s">
        <v>12</v>
      </c>
      <c r="B19" s="79" t="s">
        <v>34</v>
      </c>
      <c r="C19" s="111">
        <v>1450</v>
      </c>
      <c r="D19" s="112">
        <f>(C19/2*1735.08+C19/2*1861.48)/1000</f>
        <v>2607.506</v>
      </c>
      <c r="E19" s="111">
        <v>170</v>
      </c>
      <c r="F19" s="110">
        <f t="shared" si="0"/>
        <v>884</v>
      </c>
      <c r="G19" s="110">
        <v>5060</v>
      </c>
      <c r="H19" s="112">
        <f>G19/2*24.37/1000+G19/2*24.37/1000</f>
        <v>123.312</v>
      </c>
      <c r="I19" s="110">
        <f>((G19/2*26.8)+(L19/2*26.8))/1000+((G19/2*26.8)+(L19/2*26.8))/1000</f>
        <v>207.97</v>
      </c>
      <c r="J19" s="113"/>
      <c r="K19" s="114"/>
      <c r="L19" s="115">
        <v>2700</v>
      </c>
      <c r="M19" s="115">
        <f>L19*0.061001</f>
        <v>164.7</v>
      </c>
      <c r="N19" s="115">
        <f>((L19/2*24.37)+(M19/2*1735.08))/1000+((L19/2*24.37)+(M19/2*1861.72))/1000</f>
        <v>362</v>
      </c>
      <c r="O19" s="113"/>
      <c r="P19" s="116"/>
      <c r="Q19" s="110">
        <f t="shared" si="5"/>
        <v>4184.79</v>
      </c>
      <c r="R19" s="70">
        <v>0</v>
      </c>
      <c r="S19" s="117">
        <v>4184.79</v>
      </c>
      <c r="T19" s="32"/>
      <c r="U19" s="32"/>
    </row>
    <row r="20" spans="1:22" ht="15.75">
      <c r="A20" s="53" t="s">
        <v>13</v>
      </c>
      <c r="B20" s="80" t="s">
        <v>33</v>
      </c>
      <c r="C20" s="97">
        <v>300</v>
      </c>
      <c r="D20" s="98">
        <f>(C20/2*1735.08+C20/2*1829)/1000</f>
        <v>534.612</v>
      </c>
      <c r="E20" s="97">
        <v>10</v>
      </c>
      <c r="F20" s="99">
        <f t="shared" si="0"/>
        <v>52</v>
      </c>
      <c r="G20" s="99">
        <v>220</v>
      </c>
      <c r="H20" s="98">
        <f aca="true" t="shared" si="6" ref="H20:H26">G20/2*24.37/1000+G20/2*27.21/1000</f>
        <v>5.674</v>
      </c>
      <c r="I20" s="99">
        <f aca="true" t="shared" si="7" ref="I20:I26">((G20/2*26.8)+(L20/2*30.18))/1000+((G20/2*26.8)+(L20/2*30.18))/1000</f>
        <v>7.04</v>
      </c>
      <c r="J20" s="100"/>
      <c r="K20" s="34"/>
      <c r="L20" s="58">
        <v>38</v>
      </c>
      <c r="M20" s="58">
        <f t="shared" si="3"/>
        <v>2.32</v>
      </c>
      <c r="N20" s="58">
        <f aca="true" t="shared" si="8" ref="N20:N26">((L20/2*24.37)+(M20/2*1735.08))/1000+((L20/2*27.21)+(M20/2*1861.72))/1000</f>
        <v>5.15</v>
      </c>
      <c r="O20" s="100"/>
      <c r="P20" s="56"/>
      <c r="Q20" s="99">
        <f t="shared" si="5"/>
        <v>604.48</v>
      </c>
      <c r="R20" s="68">
        <v>0</v>
      </c>
      <c r="S20" s="69">
        <v>604.48</v>
      </c>
      <c r="T20" s="32"/>
      <c r="U20" s="32"/>
      <c r="V20" s="32"/>
    </row>
    <row r="21" spans="1:21" ht="20.25" customHeight="1">
      <c r="A21" s="53" t="s">
        <v>14</v>
      </c>
      <c r="B21" s="75" t="s">
        <v>36</v>
      </c>
      <c r="C21" s="97">
        <v>160</v>
      </c>
      <c r="D21" s="98">
        <f>(C21/2*1735.08+C21/2*1843.8)/1000</f>
        <v>286.31</v>
      </c>
      <c r="E21" s="97">
        <v>15</v>
      </c>
      <c r="F21" s="99">
        <f t="shared" si="0"/>
        <v>78</v>
      </c>
      <c r="G21" s="99">
        <v>120</v>
      </c>
      <c r="H21" s="98">
        <f t="shared" si="6"/>
        <v>3.095</v>
      </c>
      <c r="I21" s="99">
        <f t="shared" si="7"/>
        <v>4.3</v>
      </c>
      <c r="J21" s="100"/>
      <c r="K21" s="34"/>
      <c r="L21" s="58">
        <v>36</v>
      </c>
      <c r="M21" s="58">
        <f t="shared" si="3"/>
        <v>2.2</v>
      </c>
      <c r="N21" s="58">
        <f t="shared" si="8"/>
        <v>4.88</v>
      </c>
      <c r="O21" s="100"/>
      <c r="P21" s="56"/>
      <c r="Q21" s="99">
        <f t="shared" si="5"/>
        <v>376.59</v>
      </c>
      <c r="R21" s="68">
        <v>0</v>
      </c>
      <c r="S21" s="69">
        <v>376.59</v>
      </c>
      <c r="T21" s="32"/>
      <c r="U21" s="32"/>
    </row>
    <row r="22" spans="1:21" ht="15.75">
      <c r="A22" s="53" t="s">
        <v>15</v>
      </c>
      <c r="B22" s="75" t="s">
        <v>35</v>
      </c>
      <c r="C22" s="97">
        <v>220</v>
      </c>
      <c r="D22" s="98">
        <f>(C22/2*1735.08+C22/2*1839.4)/1000</f>
        <v>393.193</v>
      </c>
      <c r="E22" s="97">
        <v>15</v>
      </c>
      <c r="F22" s="99">
        <f t="shared" si="0"/>
        <v>78</v>
      </c>
      <c r="G22" s="99">
        <v>97</v>
      </c>
      <c r="H22" s="98">
        <f t="shared" si="6"/>
        <v>2.502</v>
      </c>
      <c r="I22" s="99">
        <f t="shared" si="7"/>
        <v>2.6</v>
      </c>
      <c r="J22" s="100"/>
      <c r="K22" s="34"/>
      <c r="L22" s="58"/>
      <c r="M22" s="34"/>
      <c r="N22" s="58">
        <f t="shared" si="8"/>
        <v>0</v>
      </c>
      <c r="O22" s="100"/>
      <c r="P22" s="56"/>
      <c r="Q22" s="99">
        <f t="shared" si="5"/>
        <v>476.3</v>
      </c>
      <c r="R22" s="68">
        <v>0</v>
      </c>
      <c r="S22" s="69">
        <v>476.3</v>
      </c>
      <c r="T22" s="32"/>
      <c r="U22" s="32"/>
    </row>
    <row r="23" spans="1:21" ht="15.75">
      <c r="A23" s="53" t="s">
        <v>16</v>
      </c>
      <c r="B23" s="75" t="s">
        <v>37</v>
      </c>
      <c r="C23" s="97">
        <v>48</v>
      </c>
      <c r="D23" s="98">
        <f>(C23/2*1735.08+C23/2*1853.4)/1000</f>
        <v>86.124</v>
      </c>
      <c r="E23" s="99">
        <v>6</v>
      </c>
      <c r="F23" s="99">
        <f t="shared" si="0"/>
        <v>31.2</v>
      </c>
      <c r="G23" s="99">
        <v>150</v>
      </c>
      <c r="H23" s="98">
        <f t="shared" si="6"/>
        <v>3.869</v>
      </c>
      <c r="I23" s="99">
        <f t="shared" si="7"/>
        <v>4.02</v>
      </c>
      <c r="J23" s="100"/>
      <c r="K23" s="34"/>
      <c r="L23" s="58"/>
      <c r="M23" s="34"/>
      <c r="N23" s="58">
        <f t="shared" si="8"/>
        <v>0</v>
      </c>
      <c r="O23" s="100"/>
      <c r="P23" s="56"/>
      <c r="Q23" s="99">
        <f t="shared" si="5"/>
        <v>125.21</v>
      </c>
      <c r="R23" s="68">
        <v>0</v>
      </c>
      <c r="S23" s="69">
        <v>125.21</v>
      </c>
      <c r="T23" s="32"/>
      <c r="U23" s="32"/>
    </row>
    <row r="24" spans="1:21" ht="15.75">
      <c r="A24" s="52" t="s">
        <v>17</v>
      </c>
      <c r="B24" s="129" t="s">
        <v>24</v>
      </c>
      <c r="C24" s="130">
        <v>48</v>
      </c>
      <c r="D24" s="38">
        <f>(C24/2*1735.08+C24/2*1853.4)/1000</f>
        <v>86.124</v>
      </c>
      <c r="E24" s="102">
        <v>2.6</v>
      </c>
      <c r="F24" s="102">
        <f t="shared" si="0"/>
        <v>13.52</v>
      </c>
      <c r="G24" s="102">
        <v>150</v>
      </c>
      <c r="H24" s="38">
        <f t="shared" si="6"/>
        <v>3.869</v>
      </c>
      <c r="I24" s="102">
        <f t="shared" si="7"/>
        <v>4.02</v>
      </c>
      <c r="J24" s="131"/>
      <c r="K24" s="35"/>
      <c r="L24" s="60"/>
      <c r="M24" s="35"/>
      <c r="N24" s="60">
        <f t="shared" si="8"/>
        <v>0</v>
      </c>
      <c r="O24" s="131"/>
      <c r="P24" s="57"/>
      <c r="Q24" s="102">
        <f t="shared" si="5"/>
        <v>107.53</v>
      </c>
      <c r="R24" s="132">
        <v>0</v>
      </c>
      <c r="S24" s="133">
        <f>Q24+R24</f>
        <v>107.53</v>
      </c>
      <c r="T24" s="127"/>
      <c r="U24" s="32"/>
    </row>
    <row r="25" spans="1:21" ht="15.75">
      <c r="A25" s="52" t="s">
        <v>47</v>
      </c>
      <c r="B25" s="81" t="s">
        <v>38</v>
      </c>
      <c r="C25" s="98">
        <v>330</v>
      </c>
      <c r="D25" s="98">
        <f>(C25/2*1735.08+C25/2*1861.72)/1000</f>
        <v>593.472</v>
      </c>
      <c r="E25" s="97">
        <v>85</v>
      </c>
      <c r="F25" s="99">
        <f t="shared" si="0"/>
        <v>442</v>
      </c>
      <c r="G25" s="99">
        <v>1940</v>
      </c>
      <c r="H25" s="98">
        <f t="shared" si="6"/>
        <v>50.033</v>
      </c>
      <c r="I25" s="99">
        <f>((G25/2*26.8)+(L25/2*28.14))/1000+((G25/2*26.8)+(L25/2*28.1418))/1000</f>
        <v>51.99</v>
      </c>
      <c r="J25" s="100"/>
      <c r="K25" s="34"/>
      <c r="L25" s="58"/>
      <c r="M25" s="34"/>
      <c r="N25" s="58">
        <f t="shared" si="8"/>
        <v>0</v>
      </c>
      <c r="O25" s="100"/>
      <c r="P25" s="56"/>
      <c r="Q25" s="99">
        <f t="shared" si="5"/>
        <v>1137.5</v>
      </c>
      <c r="R25" s="68">
        <v>0</v>
      </c>
      <c r="S25" s="69">
        <v>1141.7</v>
      </c>
      <c r="T25" s="32"/>
      <c r="U25" s="32"/>
    </row>
    <row r="26" spans="1:22" ht="19.5" customHeight="1">
      <c r="A26" s="55">
        <v>3</v>
      </c>
      <c r="B26" s="82" t="s">
        <v>26</v>
      </c>
      <c r="C26" s="56">
        <f>C28+C29+C30+C31</f>
        <v>1080</v>
      </c>
      <c r="D26" s="98">
        <f>(C26/2*1735.08+C26/2*1861.72)/1000</f>
        <v>1942.272</v>
      </c>
      <c r="E26" s="34">
        <f>E28+E29+E30+E31</f>
        <v>330</v>
      </c>
      <c r="F26" s="99">
        <f>E26*5.2</f>
        <v>1716</v>
      </c>
      <c r="G26" s="58">
        <f>G28+G29+G30+G31</f>
        <v>1161</v>
      </c>
      <c r="H26" s="98">
        <f t="shared" si="6"/>
        <v>29.942</v>
      </c>
      <c r="I26" s="99">
        <f t="shared" si="7"/>
        <v>33.98</v>
      </c>
      <c r="J26" s="34"/>
      <c r="K26" s="34"/>
      <c r="L26" s="34">
        <f>L28+L29+L30+L31</f>
        <v>95</v>
      </c>
      <c r="M26" s="58">
        <f>L26*0.061001</f>
        <v>5.8</v>
      </c>
      <c r="N26" s="58">
        <f t="shared" si="8"/>
        <v>12.88</v>
      </c>
      <c r="O26" s="57"/>
      <c r="P26" s="57"/>
      <c r="Q26" s="99">
        <f t="shared" si="5"/>
        <v>3735.07</v>
      </c>
      <c r="R26" s="125">
        <v>20.76</v>
      </c>
      <c r="S26" s="125">
        <v>3755.83</v>
      </c>
      <c r="T26" s="32"/>
      <c r="U26" s="32"/>
      <c r="V26" s="32"/>
    </row>
    <row r="27" spans="1:21" ht="19.5" customHeight="1">
      <c r="A27" s="55"/>
      <c r="B27" s="82" t="s">
        <v>64</v>
      </c>
      <c r="C27" s="58"/>
      <c r="D27" s="99"/>
      <c r="E27" s="58"/>
      <c r="F27" s="99"/>
      <c r="G27" s="58"/>
      <c r="H27" s="99"/>
      <c r="I27" s="98"/>
      <c r="J27" s="56"/>
      <c r="K27" s="34"/>
      <c r="L27" s="99"/>
      <c r="M27" s="99"/>
      <c r="N27" s="98"/>
      <c r="O27" s="57"/>
      <c r="P27" s="57"/>
      <c r="Q27" s="99"/>
      <c r="R27" s="125"/>
      <c r="S27" s="125"/>
      <c r="T27" s="32"/>
      <c r="U27" s="32"/>
    </row>
    <row r="28" spans="1:21" ht="21.75" customHeight="1">
      <c r="A28" s="59" t="s">
        <v>57</v>
      </c>
      <c r="B28" s="83" t="s">
        <v>65</v>
      </c>
      <c r="C28" s="57">
        <v>153</v>
      </c>
      <c r="D28" s="38">
        <f>(C28/2*1735.08+C28/2*1861.72)/1000</f>
        <v>275.155</v>
      </c>
      <c r="E28" s="60">
        <v>20.4</v>
      </c>
      <c r="F28" s="102">
        <f t="shared" si="0"/>
        <v>106.08</v>
      </c>
      <c r="G28" s="60">
        <v>163</v>
      </c>
      <c r="H28" s="38">
        <f aca="true" t="shared" si="9" ref="H28:H33">G28/2*24.37/1000+G28/2*27.21/1000</f>
        <v>4.204</v>
      </c>
      <c r="I28" s="102">
        <f>((G28/2*26.8)+(L28/2*30.18))/1000+((G28/2*26.8)+(L28/2*30.18))/1000</f>
        <v>6.18</v>
      </c>
      <c r="J28" s="57"/>
      <c r="K28" s="35"/>
      <c r="L28" s="35">
        <v>60</v>
      </c>
      <c r="M28" s="60">
        <f>L28*0.061001</f>
        <v>3.66</v>
      </c>
      <c r="N28" s="60">
        <f>((L28/2*24.37)+(M28/2*1735.08))/1000+((L28/2*27.21)+(M28/2*1861.72))/1000</f>
        <v>8.13</v>
      </c>
      <c r="O28" s="57"/>
      <c r="P28" s="57"/>
      <c r="Q28" s="102">
        <f t="shared" si="5"/>
        <v>399.75</v>
      </c>
      <c r="R28" s="124">
        <v>0</v>
      </c>
      <c r="S28" s="124">
        <f>Q28+R28</f>
        <v>399.75</v>
      </c>
      <c r="T28" s="32"/>
      <c r="U28" s="41"/>
    </row>
    <row r="29" spans="1:21" ht="55.5" customHeight="1">
      <c r="A29" s="59" t="s">
        <v>58</v>
      </c>
      <c r="B29" s="84" t="s">
        <v>63</v>
      </c>
      <c r="C29" s="118">
        <v>803</v>
      </c>
      <c r="D29" s="119">
        <f>(C29/2*1735.08+C29/2*1861.72)/1000</f>
        <v>1444.115</v>
      </c>
      <c r="E29" s="120">
        <v>302.05</v>
      </c>
      <c r="F29" s="121">
        <f t="shared" si="0"/>
        <v>1570.66</v>
      </c>
      <c r="G29" s="120">
        <v>952</v>
      </c>
      <c r="H29" s="119">
        <f t="shared" si="9"/>
        <v>24.552</v>
      </c>
      <c r="I29" s="121">
        <f>((G29/2*26.8)+(L29/2*30.18))/1000+((G29/2*26.8)+(L29/2*30.18))/1000</f>
        <v>26.42</v>
      </c>
      <c r="J29" s="118"/>
      <c r="K29" s="122"/>
      <c r="L29" s="119">
        <v>30</v>
      </c>
      <c r="M29" s="120">
        <f>L29*0.061001</f>
        <v>1.83</v>
      </c>
      <c r="N29" s="120">
        <f>((L29/2*24.37)+(M29/2*1735.08))/1000+((L29/2*27.21)+(M29/2*1861.72))/1000</f>
        <v>4.06</v>
      </c>
      <c r="O29" s="118"/>
      <c r="P29" s="118"/>
      <c r="Q29" s="121">
        <f t="shared" si="5"/>
        <v>3069.81</v>
      </c>
      <c r="R29" s="126">
        <v>20.5</v>
      </c>
      <c r="S29" s="126">
        <f>Q29+R29</f>
        <v>3090.31</v>
      </c>
      <c r="T29" s="32"/>
      <c r="U29" s="41"/>
    </row>
    <row r="30" spans="1:21" ht="21.75" customHeight="1">
      <c r="A30" s="33" t="s">
        <v>59</v>
      </c>
      <c r="B30" s="85" t="s">
        <v>61</v>
      </c>
      <c r="C30" s="103">
        <v>22</v>
      </c>
      <c r="D30" s="38">
        <f>(C30/2*1735.08+C30/2*1861.72)/1000</f>
        <v>39.565</v>
      </c>
      <c r="E30" s="104">
        <v>5.54</v>
      </c>
      <c r="F30" s="105">
        <f t="shared" si="0"/>
        <v>28.81</v>
      </c>
      <c r="G30" s="104">
        <v>27</v>
      </c>
      <c r="H30" s="38">
        <f t="shared" si="9"/>
        <v>0.696</v>
      </c>
      <c r="I30" s="102">
        <f>((G30/2*26.8)+(L30/2*30.18))/1000+((G30/2*26.8)+(L30/2*30.18))/1000</f>
        <v>0.87</v>
      </c>
      <c r="J30" s="37"/>
      <c r="K30" s="37"/>
      <c r="L30" s="37">
        <v>5</v>
      </c>
      <c r="M30" s="60">
        <f>L30*0.061001</f>
        <v>0.31</v>
      </c>
      <c r="N30" s="60">
        <f>((L30/2*24.37)+(M30/2*1735.08))/1000+((L30/2*27.21)+(M30/2*1861.72))/1000</f>
        <v>0.69</v>
      </c>
      <c r="O30" s="103"/>
      <c r="P30" s="103"/>
      <c r="Q30" s="102">
        <f t="shared" si="5"/>
        <v>70.63</v>
      </c>
      <c r="R30" s="124">
        <v>0.26</v>
      </c>
      <c r="S30" s="124">
        <v>70.89</v>
      </c>
      <c r="T30" s="32"/>
      <c r="U30" s="41"/>
    </row>
    <row r="31" spans="1:21" ht="21.75" customHeight="1">
      <c r="A31" s="33" t="s">
        <v>60</v>
      </c>
      <c r="B31" s="85" t="s">
        <v>62</v>
      </c>
      <c r="C31" s="103">
        <v>102</v>
      </c>
      <c r="D31" s="38">
        <f>(C31/2*1735.08+C31/2*1861.72)/1000</f>
        <v>183.437</v>
      </c>
      <c r="E31" s="104">
        <v>2.01</v>
      </c>
      <c r="F31" s="105">
        <f t="shared" si="0"/>
        <v>10.45</v>
      </c>
      <c r="G31" s="104">
        <v>19</v>
      </c>
      <c r="H31" s="38">
        <f t="shared" si="9"/>
        <v>0.49</v>
      </c>
      <c r="I31" s="102">
        <f>((G31/2*26.8)+(L31/2*30.18))/1000+((G31/2*26.8)+(L31/2*30.18))/1000</f>
        <v>0.51</v>
      </c>
      <c r="J31" s="37"/>
      <c r="K31" s="37"/>
      <c r="L31" s="37">
        <v>0</v>
      </c>
      <c r="M31" s="37">
        <v>0</v>
      </c>
      <c r="N31" s="60">
        <f>((L31/2*24.37)+(M31/2*1735.08))/1000+((L31/2*27.21)+(M31/2*1861.72))/1000</f>
        <v>0</v>
      </c>
      <c r="O31" s="103"/>
      <c r="P31" s="103"/>
      <c r="Q31" s="102">
        <f t="shared" si="5"/>
        <v>194.89</v>
      </c>
      <c r="R31" s="124">
        <v>0</v>
      </c>
      <c r="S31" s="124">
        <v>194.89</v>
      </c>
      <c r="T31" s="32"/>
      <c r="U31" s="41"/>
    </row>
    <row r="32" spans="1:21" ht="19.5" customHeight="1">
      <c r="A32" s="24">
        <v>4</v>
      </c>
      <c r="B32" s="86" t="s">
        <v>49</v>
      </c>
      <c r="C32" s="36">
        <v>500</v>
      </c>
      <c r="D32" s="98">
        <f>(C32/2*1735.08+C32/2*1861.72)/1000</f>
        <v>899.2</v>
      </c>
      <c r="E32" s="73">
        <v>19.5</v>
      </c>
      <c r="F32" s="64">
        <f t="shared" si="0"/>
        <v>101.4</v>
      </c>
      <c r="G32" s="36">
        <v>1000</v>
      </c>
      <c r="H32" s="98">
        <f t="shared" si="9"/>
        <v>25.79</v>
      </c>
      <c r="I32" s="99">
        <v>27.17</v>
      </c>
      <c r="J32" s="106"/>
      <c r="K32" s="73"/>
      <c r="L32" s="36">
        <v>6.23</v>
      </c>
      <c r="M32" s="58">
        <f>L32*0.061001</f>
        <v>0.38</v>
      </c>
      <c r="N32" s="58">
        <f>((L32/2*24.37)+(M32/2*1735.08))/1000+((L32/2*27.21)+(M32/2*1861.72))/1000</f>
        <v>0.84</v>
      </c>
      <c r="O32" s="103"/>
      <c r="P32" s="103"/>
      <c r="Q32" s="99">
        <f t="shared" si="5"/>
        <v>1054.4</v>
      </c>
      <c r="R32" s="71">
        <v>0</v>
      </c>
      <c r="S32" s="69">
        <f>Q32+R32</f>
        <v>1054.4</v>
      </c>
      <c r="T32" s="127"/>
      <c r="U32" s="32"/>
    </row>
    <row r="33" spans="1:23" ht="19.5" customHeight="1">
      <c r="A33" s="24"/>
      <c r="B33" s="86" t="s">
        <v>75</v>
      </c>
      <c r="C33" s="36"/>
      <c r="D33" s="61"/>
      <c r="E33" s="73">
        <v>60</v>
      </c>
      <c r="F33" s="64">
        <f t="shared" si="0"/>
        <v>312</v>
      </c>
      <c r="G33" s="36">
        <v>20</v>
      </c>
      <c r="H33" s="98">
        <f t="shared" si="9"/>
        <v>0.516</v>
      </c>
      <c r="I33" s="64"/>
      <c r="J33" s="106"/>
      <c r="K33" s="73"/>
      <c r="L33" s="36"/>
      <c r="M33" s="39"/>
      <c r="N33" s="36"/>
      <c r="O33" s="103"/>
      <c r="P33" s="103"/>
      <c r="Q33" s="99">
        <f t="shared" si="5"/>
        <v>312.52</v>
      </c>
      <c r="R33" s="71">
        <v>0</v>
      </c>
      <c r="S33" s="69">
        <f>Q33+R33</f>
        <v>312.52</v>
      </c>
      <c r="T33" s="127"/>
      <c r="U33" s="32"/>
      <c r="V33" s="128"/>
      <c r="W33" s="128"/>
    </row>
    <row r="34" spans="1:21" ht="19.5" customHeight="1">
      <c r="A34" s="24">
        <v>5</v>
      </c>
      <c r="B34" s="86" t="s">
        <v>76</v>
      </c>
      <c r="C34" s="36"/>
      <c r="D34" s="61"/>
      <c r="E34" s="107">
        <v>0.02</v>
      </c>
      <c r="F34" s="64">
        <f t="shared" si="0"/>
        <v>0.1</v>
      </c>
      <c r="G34" s="36"/>
      <c r="H34" s="61"/>
      <c r="I34" s="61"/>
      <c r="J34" s="106"/>
      <c r="K34" s="73"/>
      <c r="L34" s="36"/>
      <c r="M34" s="36"/>
      <c r="N34" s="36">
        <f>((L34/2*24.37)+(M34/2*1735.08))/1000+((L34/2*24.37)+(M34/2*1735.08))/1000</f>
        <v>0</v>
      </c>
      <c r="O34" s="103"/>
      <c r="P34" s="103"/>
      <c r="Q34" s="99">
        <f t="shared" si="5"/>
        <v>0.1</v>
      </c>
      <c r="R34" s="71">
        <v>0</v>
      </c>
      <c r="S34" s="69">
        <v>0.1</v>
      </c>
      <c r="T34" s="32"/>
      <c r="U34" s="32"/>
    </row>
    <row r="35" spans="1:21" s="3" customFormat="1" ht="20.25" customHeight="1">
      <c r="A35" s="8"/>
      <c r="B35" s="66" t="s">
        <v>19</v>
      </c>
      <c r="C35" s="63">
        <f aca="true" t="shared" si="10" ref="C35:I35">C11+C12+C13+C14+C15+C16+C17+C19+C20+C21+C22+C23+C25+C26+C32+C34+C33</f>
        <v>8155.55</v>
      </c>
      <c r="D35" s="63">
        <f t="shared" si="10"/>
        <v>14622.24</v>
      </c>
      <c r="E35" s="63">
        <f t="shared" si="10"/>
        <v>1436.52</v>
      </c>
      <c r="F35" s="63">
        <f t="shared" si="10"/>
        <v>7469.9</v>
      </c>
      <c r="G35" s="63">
        <f t="shared" si="10"/>
        <v>23418</v>
      </c>
      <c r="H35" s="63">
        <f t="shared" si="10"/>
        <v>596.77</v>
      </c>
      <c r="I35" s="63">
        <f t="shared" si="10"/>
        <v>1025.89</v>
      </c>
      <c r="J35" s="63">
        <f aca="true" t="shared" si="11" ref="J35:P35">J11+J12+J13+J14+J15+J16+J17+J19+J20+J21+J22+J23+J25+J26+J32+J34+J33</f>
        <v>287</v>
      </c>
      <c r="K35" s="63">
        <f t="shared" si="11"/>
        <v>1558.6</v>
      </c>
      <c r="L35" s="63">
        <f t="shared" si="11"/>
        <v>13511.23</v>
      </c>
      <c r="M35" s="63">
        <f t="shared" si="11"/>
        <v>824.21</v>
      </c>
      <c r="N35" s="63">
        <f t="shared" si="11"/>
        <v>1826.87</v>
      </c>
      <c r="O35" s="63">
        <f t="shared" si="11"/>
        <v>15</v>
      </c>
      <c r="P35" s="63">
        <f t="shared" si="11"/>
        <v>51.5</v>
      </c>
      <c r="Q35" s="108">
        <f>Q11+Q12+Q13+Q14+Q15+Q16+Q17+Q18+Q19+Q20+Q21+Q22+Q23+Q25+Q26+Q32+Q33+Q34</f>
        <v>27151.79</v>
      </c>
      <c r="R35" s="72">
        <v>662.99</v>
      </c>
      <c r="S35" s="108">
        <f>S11+S12+S13+S14+S15+S16+S17+S18+S19+S20+S21+S22+S23+S25+S26+S32+S33+S34</f>
        <v>27187.37</v>
      </c>
      <c r="T35" s="28"/>
      <c r="U35" s="42"/>
    </row>
    <row r="36" spans="1:20" s="6" customFormat="1" ht="21.75" customHeight="1">
      <c r="A36" s="150" t="s">
        <v>48</v>
      </c>
      <c r="B36" s="151"/>
      <c r="C36" s="151"/>
      <c r="D36" s="151"/>
      <c r="E36" s="151"/>
      <c r="F36" s="152"/>
      <c r="G36" s="143">
        <f>S35</f>
        <v>27187.37</v>
      </c>
      <c r="H36" s="144"/>
      <c r="I36" s="17"/>
      <c r="J36" s="18"/>
      <c r="K36" s="18"/>
      <c r="L36" s="18"/>
      <c r="M36" s="18"/>
      <c r="N36" s="18"/>
      <c r="O36" s="18"/>
      <c r="P36" s="18"/>
      <c r="Q36" s="50"/>
      <c r="R36" s="29"/>
      <c r="S36" s="30"/>
      <c r="T36" s="109"/>
    </row>
    <row r="37" spans="1:19" s="6" customFormat="1" ht="18" customHeight="1">
      <c r="A37" s="14"/>
      <c r="B37" s="14"/>
      <c r="C37" s="14"/>
      <c r="D37" s="14"/>
      <c r="E37" s="14"/>
      <c r="F37" s="20"/>
      <c r="G37" s="21"/>
      <c r="H37" s="22" t="s">
        <v>25</v>
      </c>
      <c r="I37" s="19"/>
      <c r="J37" s="20"/>
      <c r="K37" s="20"/>
      <c r="L37" s="20"/>
      <c r="M37" s="20"/>
      <c r="N37" s="19"/>
      <c r="O37" s="20"/>
      <c r="P37" s="13"/>
      <c r="Q37" s="51"/>
      <c r="S37" s="65"/>
    </row>
    <row r="38" spans="1:18" s="12" customFormat="1" ht="15.75" customHeight="1">
      <c r="A38" s="142" t="s">
        <v>39</v>
      </c>
      <c r="B38" s="142"/>
      <c r="C38" s="44"/>
      <c r="D38" s="43" t="s">
        <v>68</v>
      </c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5"/>
      <c r="R38" s="45"/>
    </row>
    <row r="39" spans="1:18" ht="20.25">
      <c r="A39" s="46"/>
      <c r="B39" s="46"/>
      <c r="C39" s="46"/>
      <c r="D39" s="46"/>
      <c r="E39" s="46"/>
      <c r="F39" s="46"/>
      <c r="G39" s="47" t="s">
        <v>52</v>
      </c>
      <c r="H39" s="47"/>
      <c r="I39" s="47"/>
      <c r="J39" s="47"/>
      <c r="K39" s="47"/>
      <c r="L39" s="47"/>
      <c r="M39" s="47"/>
      <c r="N39" s="47"/>
      <c r="O39" s="47"/>
      <c r="P39" s="48"/>
      <c r="Q39" s="48"/>
      <c r="R39" s="49"/>
    </row>
    <row r="40" spans="1:18" ht="2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3" spans="2:16" s="12" customFormat="1" ht="12.75">
      <c r="B43" s="15"/>
      <c r="C43" s="16"/>
      <c r="D43" s="16"/>
      <c r="E43" s="6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22">
    <mergeCell ref="R6:R7"/>
    <mergeCell ref="Q6:Q7"/>
    <mergeCell ref="J6:K6"/>
    <mergeCell ref="A38:B38"/>
    <mergeCell ref="G36:H36"/>
    <mergeCell ref="C6:D6"/>
    <mergeCell ref="E6:F6"/>
    <mergeCell ref="G6:I6"/>
    <mergeCell ref="C7:D7"/>
    <mergeCell ref="A36:F36"/>
    <mergeCell ref="B6:B8"/>
    <mergeCell ref="G7:I7"/>
    <mergeCell ref="J7:K7"/>
    <mergeCell ref="E7:F7"/>
    <mergeCell ref="N1:S1"/>
    <mergeCell ref="N2:S2"/>
    <mergeCell ref="N3:S3"/>
    <mergeCell ref="A4:S4"/>
    <mergeCell ref="L6:N6"/>
    <mergeCell ref="A5:S5"/>
    <mergeCell ref="O6:P7"/>
    <mergeCell ref="S6:S7"/>
  </mergeCells>
  <printOptions/>
  <pageMargins left="0.3937007874015748" right="0.2362204724409449" top="0.1968503937007874" bottom="0.1968503937007874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User_232</cp:lastModifiedBy>
  <cp:lastPrinted>2015-03-31T11:15:41Z</cp:lastPrinted>
  <dcterms:created xsi:type="dcterms:W3CDTF">2013-10-23T13:43:28Z</dcterms:created>
  <dcterms:modified xsi:type="dcterms:W3CDTF">2015-04-06T06:42:37Z</dcterms:modified>
  <cp:category/>
  <cp:version/>
  <cp:contentType/>
  <cp:contentStatus/>
</cp:coreProperties>
</file>