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0"/>
  </bookViews>
  <sheets>
    <sheet name="Изменения  от 14.12.20г. " sheetId="1" r:id="rId1"/>
  </sheets>
  <definedNames>
    <definedName name="_xlnm.Print_Titles" localSheetId="0">'Изменения  от 14.12.20г. '!$5:$10</definedName>
    <definedName name="_xlnm.Print_Area" localSheetId="0">'Изменения  от 14.12.20г. '!$A$1:$M$529</definedName>
  </definedNames>
  <calcPr fullCalcOnLoad="1"/>
</workbook>
</file>

<file path=xl/comments1.xml><?xml version="1.0" encoding="utf-8"?>
<comments xmlns="http://schemas.openxmlformats.org/spreadsheetml/2006/main">
  <authors>
    <author>retivova_vyu</author>
  </authors>
  <commentList>
    <comment ref="J167" authorId="0">
      <text>
        <r>
          <rPr>
            <b/>
            <sz val="9"/>
            <rFont val="Tahoma"/>
            <family val="2"/>
          </rPr>
          <t>retivova_vyu: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<sst xmlns="http://schemas.openxmlformats.org/spreadsheetml/2006/main" count="672" uniqueCount="305">
  <si>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</si>
  <si>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</si>
  <si>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</si>
  <si>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</si>
  <si>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</si>
  <si>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</si>
  <si>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</si>
  <si>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</si>
  <si>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</si>
  <si>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</si>
  <si>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</si>
  <si>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</si>
  <si>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</si>
  <si>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</si>
  <si>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</si>
  <si>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</si>
  <si>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</si>
  <si>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</si>
  <si>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</si>
  <si>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</si>
  <si>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</si>
  <si>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</si>
  <si>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</si>
  <si>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</si>
  <si>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</si>
  <si>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</si>
  <si>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</si>
  <si>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</si>
  <si>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</si>
  <si>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</si>
  <si>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</si>
  <si>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</si>
  <si>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</si>
  <si>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</si>
  <si>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</si>
  <si>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</si>
  <si>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</si>
  <si>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</si>
  <si>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</si>
  <si>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</si>
  <si>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</si>
  <si>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</si>
  <si>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</si>
  <si>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</si>
  <si>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</si>
  <si>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</si>
  <si>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</si>
  <si>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</si>
  <si>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</si>
  <si>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</si>
  <si>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</si>
  <si>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</si>
  <si>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</si>
  <si>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</si>
  <si>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</si>
  <si>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</si>
  <si>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</si>
  <si>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</si>
  <si>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</si>
  <si>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</si>
  <si>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</si>
  <si>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</si>
  <si>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</si>
  <si>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</si>
  <si>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</si>
  <si>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</si>
  <si>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</si>
  <si>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1.1.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</si>
  <si>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</si>
  <si>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</si>
  <si>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</si>
  <si>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</si>
  <si>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</si>
  <si>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</si>
  <si>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</si>
  <si>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</si>
  <si>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</si>
  <si>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</si>
  <si>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</si>
  <si>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</si>
  <si>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</si>
  <si>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</si>
  <si>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</si>
  <si>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</si>
  <si>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</si>
  <si>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</si>
  <si>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</si>
  <si>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</si>
  <si>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</si>
  <si>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</si>
  <si>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</si>
  <si>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</si>
  <si>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</si>
  <si>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</si>
  <si>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</si>
  <si>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</si>
  <si>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</si>
  <si>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</si>
  <si>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</si>
  <si>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</si>
  <si>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</si>
  <si>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</si>
  <si>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</si>
  <si>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</si>
  <si>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</si>
  <si>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</si>
  <si>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</si>
  <si>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</si>
  <si>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</si>
  <si>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</si>
  <si>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</si>
  <si>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</si>
  <si>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</si>
  <si>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</si>
  <si>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</si>
  <si>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</si>
  <si>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</si>
  <si>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</si>
  <si>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</si>
  <si>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</si>
  <si>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</si>
  <si>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</si>
  <si>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</si>
  <si>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</si>
  <si>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безопасности дорожного движения</t>
  </si>
  <si>
    <t>ДОУ № 3</t>
  </si>
  <si>
    <t>ДОУ № 5</t>
  </si>
  <si>
    <t>ДОУ № 6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</si>
  <si>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</si>
  <si>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</si>
  <si>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</si>
  <si>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</si>
  <si>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</si>
  <si>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</si>
  <si>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</si>
  <si>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</si>
  <si>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</si>
  <si>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</si>
  <si>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</si>
  <si>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</si>
  <si>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</si>
  <si>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</si>
  <si>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</si>
  <si>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</si>
  <si>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</si>
  <si>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</si>
  <si>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</si>
  <si>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</si>
  <si>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</si>
  <si>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</si>
  <si>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</si>
  <si>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</si>
  <si>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</si>
  <si>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</si>
  <si>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</si>
  <si>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</si>
  <si>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</si>
  <si>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</si>
  <si>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</si>
  <si>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</si>
  <si>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</si>
  <si>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</si>
  <si>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</si>
  <si>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</si>
  <si>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</si>
  <si>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</si>
  <si>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</si>
  <si>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</si>
  <si>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>Управление образования, СОШ № 1</t>
  </si>
  <si>
    <t>Проведение специальной оценки условий труда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</si>
  <si>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</si>
  <si>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</si>
  <si>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</si>
  <si>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</si>
  <si>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</si>
  <si>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</si>
  <si>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</si>
  <si>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управление образования</t>
  </si>
  <si>
    <t>сош №1</t>
  </si>
  <si>
    <t xml:space="preserve">Установка камер видеонаблюдения </t>
  </si>
  <si>
    <t>сош 1</t>
  </si>
  <si>
    <t>сош 2</t>
  </si>
  <si>
    <t>ДОУ 5</t>
  </si>
  <si>
    <t>Оснащение охранной сигнализации (в т.ч. установкаэлектронных заиков для разблокировки на двери запасных выходов)</t>
  </si>
  <si>
    <t>Замена входных дверей главного запасного входа</t>
  </si>
  <si>
    <t>Синхронизация СКУД и домофонов</t>
  </si>
  <si>
    <t>ДОУ 3</t>
  </si>
  <si>
    <t>Приобретение аккууляторов для КТС</t>
  </si>
  <si>
    <t>Оснащение въездов на объект средствами снижения скорости</t>
  </si>
  <si>
    <t>ДОУ 6</t>
  </si>
  <si>
    <t>ЦВР  "Лад"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</si>
  <si>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</si>
  <si>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2.5.1.</t>
  </si>
  <si>
    <t>2.5.2</t>
  </si>
  <si>
    <t>2.5.3.</t>
  </si>
  <si>
    <t>2.5.4.</t>
  </si>
  <si>
    <t>2.5.5.</t>
  </si>
  <si>
    <t>2.5.6.</t>
  </si>
  <si>
    <t>Антитеррористическая безопасность.                             Паспорта безопасности</t>
  </si>
  <si>
    <t>1.2.2.</t>
  </si>
  <si>
    <t>Премия отличникам учебы</t>
  </si>
  <si>
    <t xml:space="preserve">Устройство исистемы видеонаблюения спортивно-игровой площадки на межшкольном стадионе </t>
  </si>
  <si>
    <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</si>
  <si>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ГКМХ СОШ № 1 -софин-е</t>
  </si>
  <si>
    <t>ЦВР (дол)</t>
  </si>
  <si>
    <t xml:space="preserve"> ЦВР "Лад"(все расходы)</t>
  </si>
  <si>
    <t xml:space="preserve"> ЦВР "Лад" (софин.)</t>
  </si>
  <si>
    <t>ЦВР (софинанс к обл.)</t>
  </si>
  <si>
    <t xml:space="preserve"> ЦВР "Лад"(мун зад)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</si>
  <si>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</si>
  <si>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</si>
  <si>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Ожидаемые результаты:                                   Показатели оценки эффективности  (качественные, количественные)</t>
  </si>
  <si>
    <t>1.Е1.1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</si>
  <si>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</si>
  <si>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</si>
  <si>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</si>
  <si>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>1.Е3.1</t>
  </si>
  <si>
    <t xml:space="preserve">сош № 2 </t>
  </si>
  <si>
    <t>1.10</t>
  </si>
  <si>
    <t>1.Е4.1</t>
  </si>
  <si>
    <t>2021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</si>
  <si>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</si>
  <si>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</si>
  <si>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</si>
  <si>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</si>
  <si>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</si>
  <si>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</si>
  <si>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</si>
  <si>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</si>
  <si>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</si>
  <si>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</si>
  <si>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</si>
  <si>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</si>
  <si>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</si>
  <si>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</si>
  <si>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</si>
  <si>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</si>
  <si>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сош № 1     сош № 2</t>
  </si>
  <si>
    <t>Итого по нац проектам</t>
  </si>
  <si>
    <t>Итого</t>
  </si>
  <si>
    <t xml:space="preserve">Всего 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</si>
  <si>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</si>
  <si>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</si>
  <si>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</si>
  <si>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</si>
  <si>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</si>
  <si>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</si>
  <si>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1.13.</t>
  </si>
  <si>
    <t>МКУ "ГКМХ"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</si>
  <si>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</si>
  <si>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</si>
  <si>
    <t>МБОУ СОШ 1, СОШ 2</t>
  </si>
  <si>
    <t>2.6.</t>
  </si>
  <si>
    <t>ДОУ  № 3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</si>
  <si>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</si>
  <si>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</si>
  <si>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</si>
  <si>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3.3.</t>
  </si>
  <si>
    <t>1.2.1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</si>
  <si>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</si>
  <si>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1.14.</t>
  </si>
  <si>
    <t>1.15.</t>
  </si>
  <si>
    <t>1.16.</t>
  </si>
  <si>
    <t>Мероприятия, связанные с профилактикой и предотвращением коронавирусной инфекции</t>
  </si>
  <si>
    <t>доу 3- о/б, м/б(соф-е)</t>
  </si>
  <si>
    <t>ЦВР</t>
  </si>
  <si>
    <t>доу 5- о/б, м/б(соф-е)</t>
  </si>
  <si>
    <t>Обеспечение безопасности распространения новой коронавирусной инфекции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</si>
  <si>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</si>
  <si>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>сош 1--о/б, м/б (соф-е)</t>
  </si>
  <si>
    <t>сош 2 - м/ б-т</t>
  </si>
  <si>
    <t>сош 1 - м/ б-т</t>
  </si>
  <si>
    <t>сош 2--о/б, м/б (соф-е)</t>
  </si>
  <si>
    <t>доу 6- о/б, м/б (соф-е)</t>
  </si>
  <si>
    <t>ЦВР - м/ б-т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</si>
  <si>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</si>
  <si>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ДОУ ЦРР Д/С № 5</t>
  </si>
  <si>
    <t>ДОУ ЦРР Д/С № 3</t>
  </si>
  <si>
    <t>ДОУ ЦРР Д/С № 6</t>
  </si>
  <si>
    <t xml:space="preserve"> ЦВР "Лад"</t>
  </si>
  <si>
    <t>МБОУ СОШ №1</t>
  </si>
  <si>
    <t>МБОУ СОШ №2</t>
  </si>
  <si>
    <t xml:space="preserve">Упр-е образования, </t>
  </si>
  <si>
    <t>Упр-ние образования</t>
  </si>
  <si>
    <t>ЦВР (соф-е к обл)</t>
  </si>
  <si>
    <t>ДОУ № 3 (расх)</t>
  </si>
  <si>
    <t>ДОУ № 3 (з/пл)</t>
  </si>
  <si>
    <t>ДОУ № 5 (расх)</t>
  </si>
  <si>
    <t>ДОУ № 5 (з/пл)</t>
  </si>
  <si>
    <t>ДОУ № 6 (расх)</t>
  </si>
  <si>
    <t>ДОУ № 6 (з/пл)</t>
  </si>
  <si>
    <t xml:space="preserve"> ЦВР "Лад"(расх)</t>
  </si>
  <si>
    <t xml:space="preserve"> ЦВР "Лад"(расход)</t>
  </si>
  <si>
    <t>ЦВР (софина к обл)</t>
  </si>
  <si>
    <t>ЦВР (софин к обл)</t>
  </si>
  <si>
    <t>сверено 2021-2023 на 15.12.20г.</t>
  </si>
  <si>
    <t>МБДОУ Д/С №3</t>
  </si>
  <si>
    <t>МБДОУ  Д/С №5</t>
  </si>
  <si>
    <t>МБДОУ Д/С №6</t>
  </si>
  <si>
    <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</si>
  <si>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с учетом - 18 455,0 по ДОУ 5 -ремонты</t>
  </si>
  <si>
    <r>
      <rPr>
        <b/>
        <sz val="11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</si>
  <si>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r>
      <rPr>
        <b/>
        <sz val="14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</si>
  <si>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rPr>
        <b/>
        <sz val="12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</si>
  <si>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rPr>
        <b/>
        <sz val="12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</si>
</sst>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  <numFmt numFmtId="194" formatCode="_-* #,##0.00000\ _₽_-;\-* #,##0.00000\ _₽_-;_-* &quot;-&quot;?????\ _₽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color indexed="30"/>
      <name val="Times New Roman"/>
      <family val="1"/>
    </font>
    <font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16" fontId="4" fillId="0" borderId="21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4" fillId="0" borderId="11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vertical="top" wrapText="1"/>
    </xf>
    <xf numFmtId="178" fontId="9" fillId="0" borderId="10" xfId="6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3" fillId="0" borderId="16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3" fillId="0" borderId="18" xfId="6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177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9" fillId="0" borderId="10" xfId="6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top" wrapText="1"/>
    </xf>
    <xf numFmtId="2" fontId="3" fillId="0" borderId="12" xfId="60" applyNumberFormat="1" applyFont="1" applyFill="1" applyBorder="1" applyAlignment="1">
      <alignment horizontal="center" vertical="center" wrapText="1"/>
    </xf>
    <xf numFmtId="2" fontId="3" fillId="0" borderId="20" xfId="60" applyNumberFormat="1" applyFont="1" applyFill="1" applyBorder="1" applyAlignment="1">
      <alignment horizontal="center" vertical="center" wrapText="1"/>
    </xf>
    <xf numFmtId="2" fontId="4" fillId="0" borderId="20" xfId="60" applyNumberFormat="1" applyFont="1" applyFill="1" applyBorder="1" applyAlignment="1">
      <alignment horizontal="center" vertical="center" wrapText="1"/>
    </xf>
    <xf numFmtId="2" fontId="3" fillId="0" borderId="30" xfId="6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2" fontId="11" fillId="0" borderId="34" xfId="60" applyNumberFormat="1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8" fontId="9" fillId="0" borderId="18" xfId="0" applyNumberFormat="1" applyFont="1" applyFill="1" applyBorder="1" applyAlignment="1">
      <alignment horizontal="center" vertical="top" wrapText="1"/>
    </xf>
    <xf numFmtId="178" fontId="9" fillId="0" borderId="13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8" fontId="9" fillId="0" borderId="24" xfId="0" applyNumberFormat="1" applyFont="1" applyFill="1" applyBorder="1" applyAlignment="1">
      <alignment horizontal="center" vertical="top" wrapText="1"/>
    </xf>
    <xf numFmtId="178" fontId="9" fillId="0" borderId="30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78" fontId="9" fillId="0" borderId="19" xfId="0" applyNumberFormat="1" applyFont="1" applyFill="1" applyBorder="1" applyAlignment="1">
      <alignment horizontal="center" vertical="top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" fontId="9" fillId="0" borderId="42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top" wrapText="1"/>
    </xf>
    <xf numFmtId="178" fontId="9" fillId="0" borderId="24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58" fillId="0" borderId="15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top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9" fillId="0" borderId="13" xfId="60" applyNumberFormat="1" applyFont="1" applyFill="1" applyBorder="1" applyAlignment="1">
      <alignment horizontal="center" vertical="center" wrapText="1"/>
    </xf>
    <xf numFmtId="178" fontId="6" fillId="0" borderId="13" xfId="60" applyNumberFormat="1" applyFont="1" applyFill="1" applyBorder="1" applyAlignment="1">
      <alignment horizontal="center" vertical="top" wrapText="1"/>
    </xf>
    <xf numFmtId="178" fontId="9" fillId="0" borderId="13" xfId="60" applyNumberFormat="1" applyFont="1" applyFill="1" applyBorder="1" applyAlignment="1">
      <alignment horizontal="center" vertical="top" wrapText="1"/>
    </xf>
    <xf numFmtId="2" fontId="3" fillId="0" borderId="14" xfId="60" applyNumberFormat="1" applyFont="1" applyFill="1" applyBorder="1" applyAlignment="1">
      <alignment horizontal="center" vertical="center" wrapText="1"/>
    </xf>
    <xf numFmtId="2" fontId="3" fillId="0" borderId="15" xfId="60" applyNumberFormat="1" applyFont="1" applyFill="1" applyBorder="1" applyAlignment="1">
      <alignment horizontal="center" vertical="center" wrapText="1"/>
    </xf>
    <xf numFmtId="2" fontId="3" fillId="0" borderId="48" xfId="6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top" wrapText="1"/>
    </xf>
    <xf numFmtId="0" fontId="3" fillId="0" borderId="4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2" fontId="11" fillId="0" borderId="10" xfId="60" applyNumberFormat="1" applyFont="1" applyFill="1" applyBorder="1" applyAlignment="1">
      <alignment vertical="center" wrapText="1"/>
    </xf>
    <xf numFmtId="2" fontId="11" fillId="0" borderId="11" xfId="60" applyNumberFormat="1" applyFont="1" applyFill="1" applyBorder="1" applyAlignment="1">
      <alignment vertical="center" wrapText="1"/>
    </xf>
    <xf numFmtId="2" fontId="11" fillId="0" borderId="22" xfId="6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2" fontId="11" fillId="0" borderId="37" xfId="60" applyNumberFormat="1" applyFont="1" applyFill="1" applyBorder="1" applyAlignment="1">
      <alignment vertical="center" wrapText="1"/>
    </xf>
    <xf numFmtId="2" fontId="11" fillId="0" borderId="10" xfId="60" applyNumberFormat="1" applyFont="1" applyFill="1" applyBorder="1" applyAlignment="1">
      <alignment horizontal="center" vertical="center" wrapText="1"/>
    </xf>
    <xf numFmtId="2" fontId="11" fillId="0" borderId="11" xfId="6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top" wrapText="1"/>
    </xf>
    <xf numFmtId="182" fontId="9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2" fontId="10" fillId="0" borderId="0" xfId="0" applyNumberFormat="1" applyFont="1" applyFill="1" applyAlignment="1">
      <alignment/>
    </xf>
    <xf numFmtId="0" fontId="9" fillId="0" borderId="30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37" xfId="6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2" fontId="4" fillId="0" borderId="24" xfId="6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5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/>
    </xf>
    <xf numFmtId="49" fontId="4" fillId="0" borderId="5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3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2" fontId="3" fillId="0" borderId="54" xfId="0" applyNumberFormat="1" applyFont="1" applyFill="1" applyBorder="1" applyAlignment="1">
      <alignment horizontal="center" vertical="top" wrapText="1"/>
    </xf>
    <xf numFmtId="2" fontId="3" fillId="0" borderId="55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 wrapText="1"/>
    </xf>
    <xf numFmtId="2" fontId="3" fillId="0" borderId="3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54" xfId="0" applyNumberFormat="1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 vertical="top" wrapText="1"/>
    </xf>
    <xf numFmtId="0" fontId="9" fillId="0" borderId="57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52" xfId="0" applyNumberFormat="1" applyFont="1" applyFill="1" applyBorder="1" applyAlignment="1">
      <alignment horizontal="center" vertical="center" wrapText="1"/>
    </xf>
    <xf numFmtId="0" fontId="14" fillId="0" borderId="5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23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center" vertical="top"/>
    </xf>
    <xf numFmtId="49" fontId="6" fillId="0" borderId="60" xfId="0" applyNumberFormat="1" applyFont="1" applyFill="1" applyBorder="1" applyAlignment="1">
      <alignment horizontal="center" vertical="top"/>
    </xf>
    <xf numFmtId="49" fontId="6" fillId="0" borderId="32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79" fontId="3" fillId="0" borderId="65" xfId="0" applyNumberFormat="1" applyFont="1" applyFill="1" applyBorder="1" applyAlignment="1">
      <alignment horizontal="center" vertical="top" wrapText="1"/>
    </xf>
    <xf numFmtId="179" fontId="3" fillId="0" borderId="66" xfId="0" applyNumberFormat="1" applyFont="1" applyFill="1" applyBorder="1" applyAlignment="1">
      <alignment horizontal="center" vertical="top" wrapText="1"/>
    </xf>
    <xf numFmtId="179" fontId="3" fillId="0" borderId="67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7" fillId="0" borderId="6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3" fillId="0" borderId="6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2" fontId="11" fillId="0" borderId="10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vertical="top"/>
    </xf>
    <xf numFmtId="0" fontId="6" fillId="0" borderId="60" xfId="0" applyNumberFormat="1" applyFont="1" applyFill="1" applyBorder="1" applyAlignment="1">
      <alignment vertical="top"/>
    </xf>
    <xf numFmtId="0" fontId="6" fillId="0" borderId="32" xfId="0" applyNumberFormat="1" applyFont="1" applyFill="1" applyBorder="1" applyAlignment="1">
      <alignment vertical="top"/>
    </xf>
    <xf numFmtId="0" fontId="3" fillId="0" borderId="4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/>
    </xf>
    <xf numFmtId="0" fontId="0" fillId="0" borderId="11" xfId="0" applyFill="1" applyBorder="1" applyAlignment="1">
      <alignment/>
    </xf>
    <xf numFmtId="16" fontId="9" fillId="0" borderId="21" xfId="0" applyNumberFormat="1" applyFont="1" applyFill="1" applyBorder="1" applyAlignment="1">
      <alignment horizontal="left" vertical="center" wrapText="1"/>
    </xf>
    <xf numFmtId="0" fontId="0" fillId="0" borderId="52" xfId="0" applyFill="1" applyBorder="1" applyAlignment="1">
      <alignment/>
    </xf>
    <xf numFmtId="16" fontId="3" fillId="0" borderId="61" xfId="0" applyNumberFormat="1" applyFont="1" applyFill="1" applyBorder="1" applyAlignment="1">
      <alignment horizontal="center" vertical="top" wrapText="1"/>
    </xf>
    <xf numFmtId="16" fontId="3" fillId="0" borderId="62" xfId="0" applyNumberFormat="1" applyFont="1" applyFill="1" applyBorder="1" applyAlignment="1">
      <alignment horizontal="center" vertical="top" wrapText="1"/>
    </xf>
    <xf numFmtId="16" fontId="3" fillId="0" borderId="54" xfId="0" applyNumberFormat="1" applyFont="1" applyFill="1" applyBorder="1" applyAlignment="1">
      <alignment horizontal="center" vertical="top" wrapText="1"/>
    </xf>
    <xf numFmtId="16" fontId="3" fillId="0" borderId="55" xfId="0" applyNumberFormat="1" applyFont="1" applyFill="1" applyBorder="1" applyAlignment="1">
      <alignment horizontal="center" vertical="top" wrapText="1"/>
    </xf>
    <xf numFmtId="16" fontId="3" fillId="0" borderId="63" xfId="0" applyNumberFormat="1" applyFont="1" applyFill="1" applyBorder="1" applyAlignment="1">
      <alignment horizontal="center" vertical="top" wrapText="1"/>
    </xf>
    <xf numFmtId="16" fontId="3" fillId="0" borderId="43" xfId="0" applyNumberFormat="1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/>
    </xf>
    <xf numFmtId="0" fontId="6" fillId="0" borderId="60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/>
    </xf>
    <xf numFmtId="0" fontId="8" fillId="0" borderId="69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0" fontId="0" fillId="0" borderId="5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54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top" wrapText="1"/>
    </xf>
    <xf numFmtId="16" fontId="3" fillId="0" borderId="52" xfId="0" applyNumberFormat="1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16" fontId="6" fillId="0" borderId="21" xfId="0" applyNumberFormat="1" applyFont="1" applyFill="1" applyBorder="1" applyAlignment="1">
      <alignment horizontal="center" vertical="top" wrapText="1"/>
    </xf>
    <xf numFmtId="16" fontId="6" fillId="0" borderId="52" xfId="0" applyNumberFormat="1" applyFont="1" applyFill="1" applyBorder="1" applyAlignment="1">
      <alignment horizontal="center" vertical="top" wrapText="1"/>
    </xf>
    <xf numFmtId="16" fontId="6" fillId="0" borderId="54" xfId="0" applyNumberFormat="1" applyFont="1" applyFill="1" applyBorder="1" applyAlignment="1">
      <alignment horizontal="center" vertical="top" wrapText="1"/>
    </xf>
    <xf numFmtId="16" fontId="6" fillId="0" borderId="0" xfId="0" applyNumberFormat="1" applyFont="1" applyFill="1" applyBorder="1" applyAlignment="1">
      <alignment horizontal="center" vertical="top" wrapText="1"/>
    </xf>
    <xf numFmtId="16" fontId="6" fillId="0" borderId="63" xfId="0" applyNumberFormat="1" applyFont="1" applyFill="1" applyBorder="1" applyAlignment="1">
      <alignment horizontal="center" vertical="top" wrapText="1"/>
    </xf>
    <xf numFmtId="16" fontId="6" fillId="0" borderId="6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9" fillId="0" borderId="61" xfId="0" applyFont="1" applyFill="1" applyBorder="1" applyAlignment="1">
      <alignment horizontal="center" vertical="top"/>
    </xf>
    <xf numFmtId="0" fontId="9" fillId="0" borderId="62" xfId="0" applyFont="1" applyFill="1" applyBorder="1" applyAlignment="1">
      <alignment horizontal="center" vertical="top"/>
    </xf>
    <xf numFmtId="0" fontId="9" fillId="0" borderId="54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7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/>
    </xf>
    <xf numFmtId="0" fontId="0" fillId="0" borderId="37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6" fontId="6" fillId="0" borderId="61" xfId="0" applyNumberFormat="1" applyFont="1" applyFill="1" applyBorder="1" applyAlignment="1">
      <alignment horizontal="center" vertical="center" wrapText="1"/>
    </xf>
    <xf numFmtId="16" fontId="6" fillId="0" borderId="68" xfId="0" applyNumberFormat="1" applyFont="1" applyFill="1" applyBorder="1" applyAlignment="1">
      <alignment horizontal="center" vertical="center" wrapText="1"/>
    </xf>
    <xf numFmtId="16" fontId="6" fillId="0" borderId="54" xfId="0" applyNumberFormat="1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16" fontId="6" fillId="0" borderId="63" xfId="0" applyNumberFormat="1" applyFont="1" applyFill="1" applyBorder="1" applyAlignment="1">
      <alignment horizontal="center" vertical="center" wrapText="1"/>
    </xf>
    <xf numFmtId="16" fontId="6" fillId="0" borderId="6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top" wrapText="1"/>
    </xf>
    <xf numFmtId="178" fontId="9" fillId="0" borderId="16" xfId="6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8" fontId="4" fillId="0" borderId="77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top" wrapText="1"/>
    </xf>
    <xf numFmtId="178" fontId="6" fillId="0" borderId="45" xfId="0" applyNumberFormat="1" applyFont="1" applyFill="1" applyBorder="1" applyAlignment="1">
      <alignment horizontal="center" vertical="top" wrapText="1"/>
    </xf>
    <xf numFmtId="178" fontId="9" fillId="0" borderId="27" xfId="0" applyNumberFormat="1" applyFont="1" applyFill="1" applyBorder="1" applyAlignment="1">
      <alignment horizontal="center" vertical="top" wrapText="1"/>
    </xf>
    <xf numFmtId="178" fontId="9" fillId="0" borderId="25" xfId="0" applyNumberFormat="1" applyFont="1" applyFill="1" applyBorder="1" applyAlignment="1">
      <alignment horizontal="center" vertical="top" wrapText="1"/>
    </xf>
    <xf numFmtId="178" fontId="9" fillId="0" borderId="77" xfId="0" applyNumberFormat="1" applyFont="1" applyFill="1" applyBorder="1" applyAlignment="1">
      <alignment horizontal="center" vertical="top" wrapText="1"/>
    </xf>
    <xf numFmtId="178" fontId="9" fillId="0" borderId="47" xfId="0" applyNumberFormat="1" applyFont="1" applyFill="1" applyBorder="1" applyAlignment="1">
      <alignment horizontal="center" vertical="top" wrapText="1"/>
    </xf>
    <xf numFmtId="178" fontId="6" fillId="0" borderId="23" xfId="60" applyNumberFormat="1" applyFont="1" applyFill="1" applyBorder="1" applyAlignment="1">
      <alignment horizontal="center" vertical="center" wrapText="1"/>
    </xf>
    <xf numFmtId="178" fontId="9" fillId="0" borderId="23" xfId="0" applyNumberFormat="1" applyFont="1" applyFill="1" applyBorder="1" applyAlignment="1">
      <alignment horizontal="center" vertical="center" wrapText="1"/>
    </xf>
    <xf numFmtId="178" fontId="9" fillId="0" borderId="23" xfId="6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6" fillId="0" borderId="10" xfId="60" applyNumberFormat="1" applyFont="1" applyFill="1" applyBorder="1" applyAlignment="1">
      <alignment horizontal="left" vertical="center" wrapText="1"/>
    </xf>
    <xf numFmtId="178" fontId="6" fillId="0" borderId="10" xfId="6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justify" vertical="center" wrapText="1"/>
    </xf>
    <xf numFmtId="178" fontId="9" fillId="0" borderId="27" xfId="0" applyNumberFormat="1" applyFont="1" applyFill="1" applyBorder="1" applyAlignment="1">
      <alignment horizontal="center" vertical="top" wrapText="1"/>
    </xf>
    <xf numFmtId="178" fontId="9" fillId="0" borderId="32" xfId="0" applyNumberFormat="1" applyFont="1" applyFill="1" applyBorder="1" applyAlignment="1">
      <alignment horizontal="center" vertical="center" wrapText="1"/>
    </xf>
    <xf numFmtId="178" fontId="9" fillId="0" borderId="45" xfId="0" applyNumberFormat="1" applyFont="1" applyFill="1" applyBorder="1" applyAlignment="1">
      <alignment horizontal="center" vertical="center" wrapText="1"/>
    </xf>
    <xf numFmtId="178" fontId="9" fillId="0" borderId="45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78" fontId="9" fillId="0" borderId="18" xfId="0" applyNumberFormat="1" applyFont="1" applyFill="1" applyBorder="1" applyAlignment="1">
      <alignment vertical="center" wrapText="1"/>
    </xf>
    <xf numFmtId="178" fontId="9" fillId="0" borderId="16" xfId="0" applyNumberFormat="1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vertical="center" wrapText="1"/>
    </xf>
    <xf numFmtId="178" fontId="9" fillId="0" borderId="33" xfId="0" applyNumberFormat="1" applyFont="1" applyFill="1" applyBorder="1" applyAlignment="1">
      <alignment horizontal="center" vertical="top" wrapText="1"/>
    </xf>
    <xf numFmtId="178" fontId="9" fillId="0" borderId="18" xfId="0" applyNumberFormat="1" applyFont="1" applyFill="1" applyBorder="1" applyAlignment="1">
      <alignment vertical="top" wrapText="1"/>
    </xf>
    <xf numFmtId="178" fontId="9" fillId="0" borderId="10" xfId="0" applyNumberFormat="1" applyFont="1" applyFill="1" applyBorder="1" applyAlignment="1">
      <alignment vertical="top" wrapText="1"/>
    </xf>
    <xf numFmtId="178" fontId="9" fillId="0" borderId="16" xfId="0" applyNumberFormat="1" applyFont="1" applyFill="1" applyBorder="1" applyAlignment="1">
      <alignment vertical="top" wrapText="1"/>
    </xf>
    <xf numFmtId="178" fontId="6" fillId="0" borderId="30" xfId="0" applyNumberFormat="1" applyFont="1" applyFill="1" applyBorder="1" applyAlignment="1">
      <alignment vertical="top" wrapText="1"/>
    </xf>
    <xf numFmtId="178" fontId="9" fillId="0" borderId="20" xfId="0" applyNumberFormat="1" applyFont="1" applyFill="1" applyBorder="1" applyAlignment="1">
      <alignment horizontal="center" vertical="top" wrapText="1"/>
    </xf>
    <xf numFmtId="178" fontId="9" fillId="0" borderId="43" xfId="0" applyNumberFormat="1" applyFont="1" applyFill="1" applyBorder="1" applyAlignment="1">
      <alignment horizontal="center" vertical="top" wrapText="1"/>
    </xf>
    <xf numFmtId="178" fontId="9" fillId="0" borderId="45" xfId="0" applyNumberFormat="1" applyFont="1" applyFill="1" applyBorder="1" applyAlignment="1">
      <alignment horizontal="center" vertical="top" wrapText="1"/>
    </xf>
    <xf numFmtId="178" fontId="6" fillId="0" borderId="46" xfId="0" applyNumberFormat="1" applyFont="1" applyFill="1" applyBorder="1" applyAlignment="1">
      <alignment vertical="top" wrapText="1"/>
    </xf>
    <xf numFmtId="178" fontId="9" fillId="0" borderId="53" xfId="0" applyNumberFormat="1" applyFont="1" applyFill="1" applyBorder="1" applyAlignment="1">
      <alignment horizontal="center" vertical="top" wrapText="1"/>
    </xf>
    <xf numFmtId="178" fontId="9" fillId="0" borderId="27" xfId="0" applyNumberFormat="1" applyFont="1" applyFill="1" applyBorder="1" applyAlignment="1">
      <alignment vertical="top" wrapText="1"/>
    </xf>
    <xf numFmtId="178" fontId="9" fillId="0" borderId="23" xfId="0" applyNumberFormat="1" applyFont="1" applyFill="1" applyBorder="1" applyAlignment="1">
      <alignment horizontal="center" vertical="top" wrapText="1"/>
    </xf>
    <xf numFmtId="178" fontId="9" fillId="0" borderId="25" xfId="0" applyNumberFormat="1" applyFont="1" applyFill="1" applyBorder="1" applyAlignment="1">
      <alignment vertical="top" wrapText="1"/>
    </xf>
    <xf numFmtId="178" fontId="9" fillId="0" borderId="21" xfId="0" applyNumberFormat="1" applyFont="1" applyFill="1" applyBorder="1" applyAlignment="1">
      <alignment vertical="top" wrapText="1"/>
    </xf>
    <xf numFmtId="178" fontId="6" fillId="0" borderId="24" xfId="0" applyNumberFormat="1" applyFont="1" applyFill="1" applyBorder="1" applyAlignment="1">
      <alignment horizontal="center" vertical="top" wrapText="1"/>
    </xf>
    <xf numFmtId="178" fontId="9" fillId="0" borderId="24" xfId="0" applyNumberFormat="1" applyFont="1" applyFill="1" applyBorder="1" applyAlignment="1">
      <alignment vertical="top" wrapText="1"/>
    </xf>
    <xf numFmtId="178" fontId="9" fillId="0" borderId="12" xfId="0" applyNumberFormat="1" applyFont="1" applyFill="1" applyBorder="1" applyAlignment="1">
      <alignment vertical="top" wrapText="1"/>
    </xf>
    <xf numFmtId="178" fontId="9" fillId="0" borderId="14" xfId="0" applyNumberFormat="1" applyFont="1" applyFill="1" applyBorder="1" applyAlignment="1">
      <alignment horizontal="center" vertical="top" wrapText="1"/>
    </xf>
    <xf numFmtId="178" fontId="9" fillId="0" borderId="38" xfId="0" applyNumberFormat="1" applyFont="1" applyFill="1" applyBorder="1" applyAlignment="1">
      <alignment horizontal="center" vertical="top" wrapText="1"/>
    </xf>
    <xf numFmtId="178" fontId="9" fillId="0" borderId="15" xfId="0" applyNumberFormat="1" applyFont="1" applyFill="1" applyBorder="1" applyAlignment="1">
      <alignment horizontal="center" vertical="top" wrapText="1"/>
    </xf>
    <xf numFmtId="178" fontId="9" fillId="0" borderId="37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8" fontId="9" fillId="0" borderId="17" xfId="0" applyNumberFormat="1" applyFont="1" applyFill="1" applyBorder="1" applyAlignment="1">
      <alignment horizontal="center" vertical="top" wrapText="1"/>
    </xf>
    <xf numFmtId="178" fontId="9" fillId="0" borderId="28" xfId="0" applyNumberFormat="1" applyFont="1" applyFill="1" applyBorder="1" applyAlignment="1">
      <alignment horizontal="center" vertical="top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30" xfId="0" applyNumberFormat="1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>
      <alignment horizontal="center" vertical="top" wrapText="1"/>
    </xf>
    <xf numFmtId="178" fontId="6" fillId="0" borderId="45" xfId="0" applyNumberFormat="1" applyFont="1" applyFill="1" applyBorder="1" applyAlignment="1">
      <alignment horizontal="center" vertical="center" wrapText="1"/>
    </xf>
    <xf numFmtId="171" fontId="6" fillId="0" borderId="18" xfId="60" applyFont="1" applyFill="1" applyBorder="1" applyAlignment="1">
      <alignment wrapText="1"/>
    </xf>
    <xf numFmtId="178" fontId="9" fillId="0" borderId="34" xfId="0" applyNumberFormat="1" applyFont="1" applyFill="1" applyBorder="1" applyAlignment="1">
      <alignment horizontal="center" vertical="center" wrapText="1"/>
    </xf>
    <xf numFmtId="178" fontId="9" fillId="0" borderId="26" xfId="0" applyNumberFormat="1" applyFont="1" applyFill="1" applyBorder="1" applyAlignment="1">
      <alignment horizontal="center" vertical="center" wrapText="1"/>
    </xf>
    <xf numFmtId="178" fontId="9" fillId="0" borderId="33" xfId="0" applyNumberFormat="1" applyFont="1" applyFill="1" applyBorder="1" applyAlignment="1">
      <alignment horizontal="center" vertical="center" wrapText="1"/>
    </xf>
    <xf numFmtId="178" fontId="6" fillId="0" borderId="40" xfId="0" applyNumberFormat="1" applyFont="1" applyFill="1" applyBorder="1" applyAlignment="1">
      <alignment horizontal="center" vertical="center" wrapText="1"/>
    </xf>
    <xf numFmtId="178" fontId="6" fillId="0" borderId="24" xfId="0" applyNumberFormat="1" applyFont="1" applyFill="1" applyBorder="1" applyAlignment="1">
      <alignment horizontal="center" vertical="center" wrapText="1"/>
    </xf>
    <xf numFmtId="178" fontId="59" fillId="0" borderId="10" xfId="60" applyNumberFormat="1" applyFont="1" applyFill="1" applyBorder="1" applyAlignment="1">
      <alignment horizontal="center" vertical="center" wrapText="1"/>
    </xf>
    <xf numFmtId="178" fontId="6" fillId="0" borderId="10" xfId="60" applyNumberFormat="1" applyFont="1" applyFill="1" applyBorder="1" applyAlignment="1">
      <alignment horizontal="center" vertical="center"/>
    </xf>
    <xf numFmtId="178" fontId="9" fillId="0" borderId="12" xfId="60" applyNumberFormat="1" applyFont="1" applyFill="1" applyBorder="1" applyAlignment="1">
      <alignment horizontal="center" vertical="center" wrapText="1"/>
    </xf>
    <xf numFmtId="178" fontId="6" fillId="0" borderId="12" xfId="60" applyNumberFormat="1" applyFont="1" applyFill="1" applyBorder="1" applyAlignment="1">
      <alignment horizontal="center" vertical="center" wrapText="1"/>
    </xf>
    <xf numFmtId="178" fontId="6" fillId="0" borderId="12" xfId="60" applyNumberFormat="1" applyFont="1" applyFill="1" applyBorder="1" applyAlignment="1">
      <alignment horizontal="center" vertical="center"/>
    </xf>
    <xf numFmtId="178" fontId="9" fillId="0" borderId="24" xfId="60" applyNumberFormat="1" applyFont="1" applyFill="1" applyBorder="1" applyAlignment="1">
      <alignment horizontal="center" vertical="center" wrapText="1"/>
    </xf>
    <xf numFmtId="178" fontId="9" fillId="0" borderId="30" xfId="60" applyNumberFormat="1" applyFont="1" applyFill="1" applyBorder="1" applyAlignment="1">
      <alignment horizontal="center" vertical="center" wrapText="1"/>
    </xf>
    <xf numFmtId="178" fontId="6" fillId="0" borderId="18" xfId="60" applyNumberFormat="1" applyFont="1" applyFill="1" applyBorder="1" applyAlignment="1">
      <alignment horizontal="center" vertical="center" wrapText="1"/>
    </xf>
    <xf numFmtId="178" fontId="9" fillId="0" borderId="18" xfId="60" applyNumberFormat="1" applyFont="1" applyFill="1" applyBorder="1" applyAlignment="1">
      <alignment horizontal="center" vertical="center" wrapText="1"/>
    </xf>
    <xf numFmtId="178" fontId="6" fillId="0" borderId="12" xfId="60" applyNumberFormat="1" applyFont="1" applyFill="1" applyBorder="1" applyAlignment="1">
      <alignment horizontal="center" vertical="top" wrapText="1"/>
    </xf>
    <xf numFmtId="178" fontId="9" fillId="0" borderId="12" xfId="60" applyNumberFormat="1" applyFont="1" applyFill="1" applyBorder="1" applyAlignment="1">
      <alignment horizontal="center" vertical="top" wrapText="1"/>
    </xf>
    <xf numFmtId="178" fontId="9" fillId="0" borderId="24" xfId="60" applyNumberFormat="1" applyFont="1" applyFill="1" applyBorder="1" applyAlignment="1">
      <alignment horizontal="center" vertical="top" wrapText="1"/>
    </xf>
    <xf numFmtId="178" fontId="9" fillId="0" borderId="30" xfId="60" applyNumberFormat="1" applyFont="1" applyFill="1" applyBorder="1" applyAlignment="1">
      <alignment horizontal="center" vertical="top" wrapText="1"/>
    </xf>
    <xf numFmtId="178" fontId="6" fillId="0" borderId="18" xfId="60" applyNumberFormat="1" applyFont="1" applyFill="1" applyBorder="1" applyAlignment="1">
      <alignment horizontal="center" wrapText="1"/>
    </xf>
    <xf numFmtId="178" fontId="6" fillId="0" borderId="18" xfId="60" applyNumberFormat="1" applyFont="1" applyFill="1" applyBorder="1" applyAlignment="1">
      <alignment horizontal="center" vertical="top" wrapText="1"/>
    </xf>
    <xf numFmtId="178" fontId="9" fillId="0" borderId="18" xfId="60" applyNumberFormat="1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wrapText="1"/>
    </xf>
    <xf numFmtId="178" fontId="6" fillId="0" borderId="12" xfId="60" applyNumberFormat="1" applyFont="1" applyFill="1" applyBorder="1" applyAlignment="1">
      <alignment horizontal="center" wrapText="1"/>
    </xf>
    <xf numFmtId="178" fontId="6" fillId="0" borderId="13" xfId="60" applyNumberFormat="1" applyFont="1" applyFill="1" applyBorder="1" applyAlignment="1">
      <alignment horizontal="center" vertical="center" wrapText="1"/>
    </xf>
    <xf numFmtId="178" fontId="6" fillId="0" borderId="24" xfId="60" applyNumberFormat="1" applyFont="1" applyFill="1" applyBorder="1" applyAlignment="1">
      <alignment horizontal="center" vertical="center" wrapText="1"/>
    </xf>
    <xf numFmtId="178" fontId="9" fillId="0" borderId="45" xfId="60" applyNumberFormat="1" applyFont="1" applyFill="1" applyBorder="1" applyAlignment="1">
      <alignment horizontal="center" vertical="top" wrapText="1"/>
    </xf>
    <xf numFmtId="178" fontId="9" fillId="0" borderId="46" xfId="6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/>
    </xf>
    <xf numFmtId="171" fontId="6" fillId="0" borderId="10" xfId="60" applyFont="1" applyFill="1" applyBorder="1" applyAlignment="1">
      <alignment vertical="center"/>
    </xf>
    <xf numFmtId="190" fontId="6" fillId="0" borderId="10" xfId="6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71" fontId="6" fillId="0" borderId="12" xfId="60" applyFont="1" applyFill="1" applyBorder="1" applyAlignment="1">
      <alignment vertical="center"/>
    </xf>
    <xf numFmtId="190" fontId="6" fillId="0" borderId="12" xfId="60" applyNumberFormat="1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78" fontId="6" fillId="0" borderId="16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justify" vertical="center" wrapText="1"/>
    </xf>
    <xf numFmtId="178" fontId="9" fillId="0" borderId="12" xfId="0" applyNumberFormat="1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3"/>
  <sheetViews>
    <sheetView tabSelected="1" view="pageBreakPreview" zoomScale="60" zoomScaleNormal="50" zoomScalePageLayoutView="50" workbookViewId="0" topLeftCell="A7">
      <pane xSplit="3" ySplit="3" topLeftCell="D527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C269" sqref="C269:D269"/>
    </sheetView>
  </sheetViews>
  <sheetFormatPr defaultColWidth="9.125" defaultRowHeight="12.75"/>
  <cols>
    <col min="1" max="1" width="8.50390625" style="43" customWidth="1"/>
    <col min="2" max="2" width="35.50390625" style="38" customWidth="1"/>
    <col min="3" max="3" width="14.875" style="38" customWidth="1"/>
    <col min="4" max="4" width="13.50390625" style="38" customWidth="1"/>
    <col min="5" max="5" width="22.75390625" style="38" customWidth="1"/>
    <col min="6" max="6" width="20.875" style="38" customWidth="1"/>
    <col min="7" max="7" width="20.625" style="38" customWidth="1"/>
    <col min="8" max="8" width="20.00390625" style="38" customWidth="1"/>
    <col min="9" max="9" width="21.50390625" style="38" customWidth="1"/>
    <col min="10" max="10" width="21.00390625" style="38" customWidth="1"/>
    <col min="11" max="11" width="15.25390625" style="38" customWidth="1"/>
    <col min="12" max="12" width="24.625" style="45" customWidth="1"/>
    <col min="13" max="13" width="24.25390625" style="44" customWidth="1"/>
    <col min="14" max="16384" width="9.125" style="25" customWidth="1"/>
  </cols>
  <sheetData>
    <row r="1" spans="10:13" ht="27" customHeight="1">
      <c r="J1" s="271" t="s">
        <v>155</v>
      </c>
      <c r="K1" s="271"/>
      <c r="L1" s="271"/>
      <c r="M1" s="271"/>
    </row>
    <row r="2" spans="10:13" ht="36" customHeight="1">
      <c r="J2" s="272" t="s">
        <v>156</v>
      </c>
      <c r="K2" s="272"/>
      <c r="L2" s="272"/>
      <c r="M2" s="272"/>
    </row>
    <row r="3" spans="1:13" s="38" customFormat="1" ht="18.75" customHeight="1">
      <c r="A3" s="43"/>
      <c r="B3" s="248" t="s">
        <v>250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44"/>
    </row>
    <row r="4" spans="1:13" s="38" customFormat="1" ht="18.75">
      <c r="A4" s="43"/>
      <c r="J4" s="38" t="s">
        <v>16</v>
      </c>
      <c r="L4" s="45"/>
      <c r="M4" s="44"/>
    </row>
    <row r="5" spans="1:13" s="38" customFormat="1" ht="28.5" customHeight="1">
      <c r="A5" s="249"/>
      <c r="B5" s="250" t="s">
        <v>8</v>
      </c>
      <c r="C5" s="250"/>
      <c r="D5" s="258" t="s">
        <v>9</v>
      </c>
      <c r="E5" s="250" t="s">
        <v>0</v>
      </c>
      <c r="F5" s="250" t="s">
        <v>13</v>
      </c>
      <c r="G5" s="250"/>
      <c r="H5" s="250"/>
      <c r="I5" s="250"/>
      <c r="J5" s="250"/>
      <c r="K5" s="250" t="s">
        <v>14</v>
      </c>
      <c r="L5" s="250" t="s">
        <v>1</v>
      </c>
      <c r="M5" s="259" t="s">
        <v>211</v>
      </c>
    </row>
    <row r="6" spans="1:13" s="38" customFormat="1" ht="28.5" customHeight="1">
      <c r="A6" s="249"/>
      <c r="B6" s="250"/>
      <c r="C6" s="250"/>
      <c r="D6" s="258"/>
      <c r="E6" s="250"/>
      <c r="F6" s="279" t="s">
        <v>11</v>
      </c>
      <c r="G6" s="250" t="s">
        <v>92</v>
      </c>
      <c r="H6" s="250"/>
      <c r="I6" s="250"/>
      <c r="J6" s="250"/>
      <c r="K6" s="250"/>
      <c r="L6" s="250"/>
      <c r="M6" s="260"/>
    </row>
    <row r="7" spans="1:13" s="38" customFormat="1" ht="28.5" customHeight="1">
      <c r="A7" s="249"/>
      <c r="B7" s="250"/>
      <c r="C7" s="250"/>
      <c r="D7" s="258"/>
      <c r="E7" s="250"/>
      <c r="F7" s="279"/>
      <c r="G7" s="250" t="s">
        <v>95</v>
      </c>
      <c r="H7" s="250"/>
      <c r="I7" s="250"/>
      <c r="J7" s="250" t="s">
        <v>91</v>
      </c>
      <c r="K7" s="250"/>
      <c r="L7" s="250"/>
      <c r="M7" s="260"/>
    </row>
    <row r="8" spans="1:13" s="38" customFormat="1" ht="28.5" customHeight="1">
      <c r="A8" s="249"/>
      <c r="B8" s="250"/>
      <c r="C8" s="250"/>
      <c r="D8" s="258"/>
      <c r="E8" s="250"/>
      <c r="F8" s="279"/>
      <c r="G8" s="250" t="s">
        <v>93</v>
      </c>
      <c r="H8" s="250" t="s">
        <v>94</v>
      </c>
      <c r="I8" s="250"/>
      <c r="J8" s="250"/>
      <c r="K8" s="250"/>
      <c r="L8" s="250"/>
      <c r="M8" s="260"/>
    </row>
    <row r="9" spans="1:13" s="38" customFormat="1" ht="73.5" customHeight="1">
      <c r="A9" s="249"/>
      <c r="B9" s="250"/>
      <c r="C9" s="250"/>
      <c r="D9" s="258"/>
      <c r="E9" s="250"/>
      <c r="F9" s="279"/>
      <c r="G9" s="250"/>
      <c r="H9" s="3" t="s">
        <v>96</v>
      </c>
      <c r="I9" s="3" t="s">
        <v>97</v>
      </c>
      <c r="J9" s="250"/>
      <c r="K9" s="250"/>
      <c r="L9" s="250"/>
      <c r="M9" s="261"/>
    </row>
    <row r="10" spans="1:13" s="47" customFormat="1" ht="20.25">
      <c r="A10" s="46">
        <v>1</v>
      </c>
      <c r="B10" s="257">
        <v>2</v>
      </c>
      <c r="C10" s="257"/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16">
        <v>12</v>
      </c>
    </row>
    <row r="11" spans="1:13" s="124" customFormat="1" ht="24" customHeight="1">
      <c r="A11" s="262" t="s">
        <v>25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</row>
    <row r="12" spans="1:13" s="45" customFormat="1" ht="51" customHeight="1">
      <c r="A12" s="251" t="s">
        <v>245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3"/>
    </row>
    <row r="13" spans="1:13" s="47" customFormat="1" ht="95.25" customHeight="1">
      <c r="A13" s="254" t="s">
        <v>246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6"/>
    </row>
    <row r="14" spans="1:13" s="47" customFormat="1" ht="21" thickBot="1">
      <c r="A14" s="276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8"/>
    </row>
    <row r="15" spans="1:13" s="47" customFormat="1" ht="42" customHeight="1" thickBot="1">
      <c r="A15" s="265" t="s">
        <v>212</v>
      </c>
      <c r="B15" s="528" t="s">
        <v>301</v>
      </c>
      <c r="C15" s="89" t="s">
        <v>93</v>
      </c>
      <c r="D15" s="89">
        <v>2020</v>
      </c>
      <c r="E15" s="183">
        <f aca="true" t="shared" si="0" ref="E15:J15">E17+E18+E23+E24</f>
        <v>1128.3</v>
      </c>
      <c r="F15" s="183">
        <f t="shared" si="0"/>
        <v>0</v>
      </c>
      <c r="G15" s="183">
        <f t="shared" si="0"/>
        <v>1117</v>
      </c>
      <c r="H15" s="183">
        <f t="shared" si="0"/>
        <v>1094.7</v>
      </c>
      <c r="I15" s="183">
        <f t="shared" si="0"/>
        <v>22.3</v>
      </c>
      <c r="J15" s="183">
        <f t="shared" si="0"/>
        <v>11.299999999999997</v>
      </c>
      <c r="K15" s="183">
        <f>K17+K18+K23+K24</f>
        <v>0</v>
      </c>
      <c r="L15" s="89" t="s">
        <v>43</v>
      </c>
      <c r="M15" s="268" t="s">
        <v>243</v>
      </c>
    </row>
    <row r="16" spans="1:13" s="47" customFormat="1" ht="34.5" customHeight="1" thickBot="1">
      <c r="A16" s="266"/>
      <c r="B16" s="529"/>
      <c r="C16" s="89" t="s">
        <v>240</v>
      </c>
      <c r="D16" s="89">
        <v>2021</v>
      </c>
      <c r="E16" s="183">
        <f aca="true" t="shared" si="1" ref="E16:J16">E19+E20</f>
        <v>1024.3</v>
      </c>
      <c r="F16" s="183">
        <f t="shared" si="1"/>
        <v>0</v>
      </c>
      <c r="G16" s="183">
        <f t="shared" si="1"/>
        <v>1012.9</v>
      </c>
      <c r="H16" s="183">
        <f t="shared" si="1"/>
        <v>992.6</v>
      </c>
      <c r="I16" s="183">
        <f t="shared" si="1"/>
        <v>20.3</v>
      </c>
      <c r="J16" s="183">
        <f t="shared" si="1"/>
        <v>11.4</v>
      </c>
      <c r="K16" s="183">
        <f>K19+K20</f>
        <v>0</v>
      </c>
      <c r="L16" s="89"/>
      <c r="M16" s="269"/>
    </row>
    <row r="17" spans="1:13" s="47" customFormat="1" ht="32.25" customHeight="1">
      <c r="A17" s="266"/>
      <c r="B17" s="529"/>
      <c r="C17" s="83" t="s">
        <v>42</v>
      </c>
      <c r="D17" s="83">
        <v>2020</v>
      </c>
      <c r="E17" s="184">
        <f aca="true" t="shared" si="2" ref="E17:E24">F17+G17+J17+K17</f>
        <v>0</v>
      </c>
      <c r="F17" s="183"/>
      <c r="G17" s="184">
        <f aca="true" t="shared" si="3" ref="G17:G24">H17+I17</f>
        <v>0</v>
      </c>
      <c r="H17" s="184">
        <f>557-557</f>
        <v>0</v>
      </c>
      <c r="I17" s="184">
        <v>0</v>
      </c>
      <c r="J17" s="184">
        <f>83.33-83.33</f>
        <v>0</v>
      </c>
      <c r="K17" s="184">
        <v>0</v>
      </c>
      <c r="L17" s="83" t="s">
        <v>42</v>
      </c>
      <c r="M17" s="269"/>
    </row>
    <row r="18" spans="1:13" s="47" customFormat="1" ht="30" customHeight="1" thickBot="1">
      <c r="A18" s="266"/>
      <c r="B18" s="529"/>
      <c r="C18" s="84" t="s">
        <v>43</v>
      </c>
      <c r="D18" s="84">
        <v>2020</v>
      </c>
      <c r="E18" s="8">
        <f t="shared" si="2"/>
        <v>1128.3</v>
      </c>
      <c r="F18" s="21"/>
      <c r="G18" s="8">
        <f t="shared" si="3"/>
        <v>1117</v>
      </c>
      <c r="H18" s="8">
        <v>1094.7</v>
      </c>
      <c r="I18" s="8">
        <v>22.3</v>
      </c>
      <c r="J18" s="8">
        <f>83.678-72.378</f>
        <v>11.299999999999997</v>
      </c>
      <c r="K18" s="8">
        <v>0</v>
      </c>
      <c r="L18" s="84" t="s">
        <v>43</v>
      </c>
      <c r="M18" s="269"/>
    </row>
    <row r="19" spans="1:13" s="47" customFormat="1" ht="28.5" customHeight="1">
      <c r="A19" s="266"/>
      <c r="B19" s="529"/>
      <c r="C19" s="83" t="s">
        <v>42</v>
      </c>
      <c r="D19" s="84">
        <v>2021</v>
      </c>
      <c r="E19" s="8">
        <f t="shared" si="2"/>
        <v>1024.3</v>
      </c>
      <c r="F19" s="21"/>
      <c r="G19" s="8">
        <f t="shared" si="3"/>
        <v>1012.9</v>
      </c>
      <c r="H19" s="8">
        <v>992.6</v>
      </c>
      <c r="I19" s="8">
        <v>20.3</v>
      </c>
      <c r="J19" s="8">
        <v>11.4</v>
      </c>
      <c r="K19" s="8">
        <v>0</v>
      </c>
      <c r="L19" s="83" t="s">
        <v>42</v>
      </c>
      <c r="M19" s="269"/>
    </row>
    <row r="20" spans="1:13" s="47" customFormat="1" ht="24.75" customHeight="1">
      <c r="A20" s="267"/>
      <c r="B20" s="529"/>
      <c r="C20" s="84" t="s">
        <v>43</v>
      </c>
      <c r="D20" s="84">
        <v>2021</v>
      </c>
      <c r="E20" s="8">
        <f t="shared" si="2"/>
        <v>0</v>
      </c>
      <c r="F20" s="21"/>
      <c r="G20" s="8">
        <f t="shared" si="3"/>
        <v>0</v>
      </c>
      <c r="H20" s="8">
        <f>565-565</f>
        <v>0</v>
      </c>
      <c r="I20" s="8">
        <v>0</v>
      </c>
      <c r="J20" s="8">
        <v>0</v>
      </c>
      <c r="K20" s="8">
        <v>0</v>
      </c>
      <c r="L20" s="84" t="s">
        <v>43</v>
      </c>
      <c r="M20" s="269"/>
    </row>
    <row r="21" spans="1:13" s="47" customFormat="1" ht="30" customHeight="1">
      <c r="A21" s="196"/>
      <c r="B21" s="529"/>
      <c r="C21" s="84" t="s">
        <v>43</v>
      </c>
      <c r="D21" s="84">
        <v>2022</v>
      </c>
      <c r="E21" s="8">
        <f t="shared" si="2"/>
        <v>0</v>
      </c>
      <c r="F21" s="21"/>
      <c r="G21" s="8">
        <f t="shared" si="3"/>
        <v>0</v>
      </c>
      <c r="H21" s="8">
        <v>0</v>
      </c>
      <c r="I21" s="8">
        <v>0</v>
      </c>
      <c r="J21" s="8">
        <v>0</v>
      </c>
      <c r="K21" s="8">
        <v>0</v>
      </c>
      <c r="L21" s="235"/>
      <c r="M21" s="269"/>
    </row>
    <row r="22" spans="1:13" s="47" customFormat="1" ht="27" customHeight="1" thickBot="1">
      <c r="A22" s="196"/>
      <c r="B22" s="530"/>
      <c r="C22" s="84" t="s">
        <v>43</v>
      </c>
      <c r="D22" s="84">
        <v>2023</v>
      </c>
      <c r="E22" s="8">
        <f t="shared" si="2"/>
        <v>0</v>
      </c>
      <c r="F22" s="21"/>
      <c r="G22" s="8">
        <f t="shared" si="3"/>
        <v>0</v>
      </c>
      <c r="H22" s="8">
        <v>0</v>
      </c>
      <c r="I22" s="8">
        <v>0</v>
      </c>
      <c r="J22" s="8">
        <v>0</v>
      </c>
      <c r="K22" s="8">
        <v>0</v>
      </c>
      <c r="L22" s="235"/>
      <c r="M22" s="269"/>
    </row>
    <row r="23" spans="1:13" s="47" customFormat="1" ht="43.5" customHeight="1">
      <c r="A23" s="265" t="s">
        <v>213</v>
      </c>
      <c r="B23" s="288" t="s">
        <v>214</v>
      </c>
      <c r="C23" s="83" t="s">
        <v>42</v>
      </c>
      <c r="D23" s="1">
        <v>2020</v>
      </c>
      <c r="E23" s="8">
        <f t="shared" si="2"/>
        <v>0</v>
      </c>
      <c r="F23" s="6"/>
      <c r="G23" s="8">
        <f t="shared" si="3"/>
        <v>0</v>
      </c>
      <c r="H23" s="8">
        <v>0</v>
      </c>
      <c r="I23" s="8">
        <v>0</v>
      </c>
      <c r="J23" s="8">
        <v>0</v>
      </c>
      <c r="K23" s="8">
        <v>0</v>
      </c>
      <c r="L23" s="83" t="s">
        <v>42</v>
      </c>
      <c r="M23" s="269"/>
    </row>
    <row r="24" spans="1:13" s="47" customFormat="1" ht="45.75" customHeight="1" thickBot="1">
      <c r="A24" s="267"/>
      <c r="B24" s="289"/>
      <c r="C24" s="84" t="s">
        <v>43</v>
      </c>
      <c r="D24" s="1">
        <v>2020</v>
      </c>
      <c r="E24" s="8">
        <f t="shared" si="2"/>
        <v>0</v>
      </c>
      <c r="F24" s="6"/>
      <c r="G24" s="8">
        <f t="shared" si="3"/>
        <v>0</v>
      </c>
      <c r="H24" s="8">
        <v>0</v>
      </c>
      <c r="I24" s="8">
        <v>0</v>
      </c>
      <c r="J24" s="8">
        <v>0</v>
      </c>
      <c r="K24" s="8">
        <v>0</v>
      </c>
      <c r="L24" s="84" t="s">
        <v>43</v>
      </c>
      <c r="M24" s="270"/>
    </row>
    <row r="25" spans="1:13" s="47" customFormat="1" ht="30.75" customHeight="1">
      <c r="A25" s="265" t="s">
        <v>215</v>
      </c>
      <c r="B25" s="273" t="s">
        <v>302</v>
      </c>
      <c r="C25" s="114"/>
      <c r="D25" s="89">
        <v>2021</v>
      </c>
      <c r="E25" s="533">
        <f aca="true" t="shared" si="4" ref="E25:K25">E26</f>
        <v>1149.4</v>
      </c>
      <c r="F25" s="533">
        <f t="shared" si="4"/>
        <v>0</v>
      </c>
      <c r="G25" s="533">
        <f t="shared" si="4"/>
        <v>1000</v>
      </c>
      <c r="H25" s="533">
        <f t="shared" si="4"/>
        <v>890</v>
      </c>
      <c r="I25" s="533">
        <f t="shared" si="4"/>
        <v>110</v>
      </c>
      <c r="J25" s="533">
        <f t="shared" si="4"/>
        <v>149.4</v>
      </c>
      <c r="K25" s="533">
        <f t="shared" si="4"/>
        <v>0</v>
      </c>
      <c r="L25" s="41"/>
      <c r="M25" s="290" t="s">
        <v>244</v>
      </c>
    </row>
    <row r="26" spans="1:13" s="47" customFormat="1" ht="33" customHeight="1">
      <c r="A26" s="266"/>
      <c r="B26" s="274"/>
      <c r="C26" s="84" t="s">
        <v>43</v>
      </c>
      <c r="D26" s="3">
        <v>2021</v>
      </c>
      <c r="E26" s="8">
        <f>F26+G26+J26+K26</f>
        <v>1149.4</v>
      </c>
      <c r="F26" s="21"/>
      <c r="G26" s="8">
        <f>H26+I26</f>
        <v>1000</v>
      </c>
      <c r="H26" s="8">
        <f>1000-110</f>
        <v>890</v>
      </c>
      <c r="I26" s="8">
        <v>110</v>
      </c>
      <c r="J26" s="8">
        <v>149.4</v>
      </c>
      <c r="K26" s="21"/>
      <c r="L26" s="84" t="s">
        <v>43</v>
      </c>
      <c r="M26" s="274"/>
    </row>
    <row r="27" spans="1:13" s="47" customFormat="1" ht="33" customHeight="1">
      <c r="A27" s="266"/>
      <c r="B27" s="274"/>
      <c r="C27" s="115"/>
      <c r="D27" s="59">
        <v>2022</v>
      </c>
      <c r="E27" s="21">
        <f aca="true" t="shared" si="5" ref="E27:K27">E28</f>
        <v>574.7</v>
      </c>
      <c r="F27" s="21">
        <f t="shared" si="5"/>
        <v>0</v>
      </c>
      <c r="G27" s="21">
        <f t="shared" si="5"/>
        <v>500</v>
      </c>
      <c r="H27" s="21">
        <f t="shared" si="5"/>
        <v>445</v>
      </c>
      <c r="I27" s="21">
        <f t="shared" si="5"/>
        <v>55</v>
      </c>
      <c r="J27" s="21">
        <f t="shared" si="5"/>
        <v>74.7</v>
      </c>
      <c r="K27" s="21">
        <f t="shared" si="5"/>
        <v>0</v>
      </c>
      <c r="L27" s="115"/>
      <c r="M27" s="274"/>
    </row>
    <row r="28" spans="1:13" s="47" customFormat="1" ht="39" customHeight="1" thickBot="1">
      <c r="A28" s="267"/>
      <c r="B28" s="274"/>
      <c r="C28" s="1" t="s">
        <v>42</v>
      </c>
      <c r="D28" s="3">
        <v>2022</v>
      </c>
      <c r="E28" s="169">
        <f>F28+G28+J28+K28</f>
        <v>574.7</v>
      </c>
      <c r="F28" s="167"/>
      <c r="G28" s="169">
        <f>H28+I28</f>
        <v>500</v>
      </c>
      <c r="H28" s="188">
        <v>445</v>
      </c>
      <c r="I28" s="188">
        <v>55</v>
      </c>
      <c r="J28" s="188">
        <v>74.7</v>
      </c>
      <c r="K28" s="187">
        <v>0</v>
      </c>
      <c r="L28" s="90" t="s">
        <v>42</v>
      </c>
      <c r="M28" s="275"/>
    </row>
    <row r="29" spans="1:13" s="47" customFormat="1" ht="37.5" customHeight="1">
      <c r="A29" s="196"/>
      <c r="B29" s="275"/>
      <c r="C29" s="532"/>
      <c r="D29" s="3">
        <v>2023</v>
      </c>
      <c r="E29" s="8">
        <f>F29+G29+J29+K29</f>
        <v>0</v>
      </c>
      <c r="F29" s="21"/>
      <c r="G29" s="8">
        <f>H29+I29</f>
        <v>0</v>
      </c>
      <c r="H29" s="169">
        <v>0</v>
      </c>
      <c r="I29" s="169">
        <v>0</v>
      </c>
      <c r="J29" s="169">
        <v>0</v>
      </c>
      <c r="K29" s="167">
        <v>0</v>
      </c>
      <c r="L29" s="198"/>
      <c r="M29" s="127"/>
    </row>
    <row r="30" spans="1:13" s="47" customFormat="1" ht="39.75" customHeight="1">
      <c r="A30" s="265" t="s">
        <v>216</v>
      </c>
      <c r="B30" s="288" t="s">
        <v>303</v>
      </c>
      <c r="C30" s="1" t="s">
        <v>42</v>
      </c>
      <c r="D30" s="3">
        <v>2021</v>
      </c>
      <c r="E30" s="533">
        <f>F30+G30+J30+K30</f>
        <v>0</v>
      </c>
      <c r="F30" s="533">
        <v>0</v>
      </c>
      <c r="G30" s="533">
        <f>H30+I30</f>
        <v>0</v>
      </c>
      <c r="H30" s="21">
        <v>0</v>
      </c>
      <c r="I30" s="21">
        <v>0</v>
      </c>
      <c r="J30" s="21">
        <v>0</v>
      </c>
      <c r="K30" s="21">
        <v>0</v>
      </c>
      <c r="L30" s="1" t="s">
        <v>42</v>
      </c>
      <c r="M30" s="288" t="s">
        <v>242</v>
      </c>
    </row>
    <row r="31" spans="1:13" s="47" customFormat="1" ht="54.75" customHeight="1">
      <c r="A31" s="266"/>
      <c r="B31" s="531"/>
      <c r="C31" s="1" t="s">
        <v>217</v>
      </c>
      <c r="D31" s="3">
        <v>2022</v>
      </c>
      <c r="E31" s="21">
        <f>F31+G31+J31+K31</f>
        <v>0</v>
      </c>
      <c r="F31" s="21">
        <v>0</v>
      </c>
      <c r="G31" s="21">
        <f>H31+I31</f>
        <v>0</v>
      </c>
      <c r="H31" s="21">
        <v>0</v>
      </c>
      <c r="I31" s="21">
        <v>0</v>
      </c>
      <c r="J31" s="21">
        <v>0</v>
      </c>
      <c r="K31" s="21">
        <v>0</v>
      </c>
      <c r="L31" s="1" t="s">
        <v>217</v>
      </c>
      <c r="M31" s="289"/>
    </row>
    <row r="32" spans="1:13" s="47" customFormat="1" ht="51.75" customHeight="1">
      <c r="A32" s="267"/>
      <c r="B32" s="289"/>
      <c r="C32" s="1"/>
      <c r="D32" s="3">
        <v>2023</v>
      </c>
      <c r="E32" s="21">
        <f>F32+G32+J32+K32</f>
        <v>0</v>
      </c>
      <c r="F32" s="21"/>
      <c r="G32" s="21">
        <f>H32+I32</f>
        <v>0</v>
      </c>
      <c r="H32" s="21">
        <v>0</v>
      </c>
      <c r="I32" s="21">
        <v>0</v>
      </c>
      <c r="J32" s="21">
        <v>0</v>
      </c>
      <c r="K32" s="21">
        <v>0</v>
      </c>
      <c r="L32" s="1"/>
      <c r="M32" s="223"/>
    </row>
    <row r="33" spans="1:13" s="47" customFormat="1" ht="49.5" customHeight="1">
      <c r="A33" s="282" t="s">
        <v>219</v>
      </c>
      <c r="B33" s="534" t="s">
        <v>304</v>
      </c>
      <c r="C33" s="120"/>
      <c r="D33" s="571" t="s">
        <v>220</v>
      </c>
      <c r="E33" s="121">
        <f aca="true" t="shared" si="6" ref="E33:J33">E34+E35+E36+E37+E38+E39+E40+E41+E42</f>
        <v>4097.6</v>
      </c>
      <c r="F33" s="121">
        <f t="shared" si="6"/>
        <v>0</v>
      </c>
      <c r="G33" s="121">
        <f t="shared" si="6"/>
        <v>4052.6</v>
      </c>
      <c r="H33" s="121">
        <f t="shared" si="6"/>
        <v>3971.5</v>
      </c>
      <c r="I33" s="121">
        <f t="shared" si="6"/>
        <v>81.1</v>
      </c>
      <c r="J33" s="121">
        <f t="shared" si="6"/>
        <v>45</v>
      </c>
      <c r="K33" s="121">
        <f>K34+K35+K36+K37+K38+K39+K40+K41+K42</f>
        <v>0</v>
      </c>
      <c r="L33" s="117"/>
      <c r="M33" s="285" t="s">
        <v>241</v>
      </c>
    </row>
    <row r="34" spans="1:13" s="47" customFormat="1" ht="39" customHeight="1">
      <c r="A34" s="283"/>
      <c r="B34" s="535"/>
      <c r="C34" s="119" t="s">
        <v>42</v>
      </c>
      <c r="D34" s="572" t="s">
        <v>220</v>
      </c>
      <c r="E34" s="8">
        <f aca="true" t="shared" si="7" ref="E34:E42">F34+G34+J34+K34</f>
        <v>2048.8</v>
      </c>
      <c r="F34" s="122"/>
      <c r="G34" s="8">
        <f aca="true" t="shared" si="8" ref="G34:G42">H34+I34</f>
        <v>2026.3</v>
      </c>
      <c r="H34" s="8">
        <v>1985.75</v>
      </c>
      <c r="I34" s="8">
        <v>40.55</v>
      </c>
      <c r="J34" s="8">
        <v>22.5</v>
      </c>
      <c r="K34" s="8">
        <v>0</v>
      </c>
      <c r="L34" s="1" t="s">
        <v>42</v>
      </c>
      <c r="M34" s="286"/>
    </row>
    <row r="35" spans="1:13" s="47" customFormat="1" ht="57.75" customHeight="1">
      <c r="A35" s="284"/>
      <c r="B35" s="536"/>
      <c r="C35" s="119" t="s">
        <v>43</v>
      </c>
      <c r="D35" s="572" t="s">
        <v>220</v>
      </c>
      <c r="E35" s="8">
        <f t="shared" si="7"/>
        <v>2048.8</v>
      </c>
      <c r="F35" s="518"/>
      <c r="G35" s="8">
        <f t="shared" si="8"/>
        <v>2026.3</v>
      </c>
      <c r="H35" s="122">
        <v>1985.75</v>
      </c>
      <c r="I35" s="122">
        <v>40.55</v>
      </c>
      <c r="J35" s="122">
        <v>22.5</v>
      </c>
      <c r="K35" s="122">
        <v>0</v>
      </c>
      <c r="L35" s="1" t="s">
        <v>217</v>
      </c>
      <c r="M35" s="286"/>
    </row>
    <row r="36" spans="1:13" s="47" customFormat="1" ht="171.75" customHeight="1">
      <c r="A36" s="118" t="s">
        <v>221</v>
      </c>
      <c r="B36" s="537" t="s">
        <v>222</v>
      </c>
      <c r="C36" s="119" t="s">
        <v>42</v>
      </c>
      <c r="D36" s="572" t="s">
        <v>220</v>
      </c>
      <c r="E36" s="21">
        <f t="shared" si="7"/>
        <v>0</v>
      </c>
      <c r="F36" s="121">
        <v>0</v>
      </c>
      <c r="G36" s="8">
        <f t="shared" si="8"/>
        <v>0</v>
      </c>
      <c r="H36" s="121">
        <v>0</v>
      </c>
      <c r="I36" s="121">
        <v>0</v>
      </c>
      <c r="J36" s="121">
        <v>0</v>
      </c>
      <c r="K36" s="121">
        <v>0</v>
      </c>
      <c r="L36" s="119" t="s">
        <v>42</v>
      </c>
      <c r="M36" s="286"/>
    </row>
    <row r="37" spans="1:13" s="47" customFormat="1" ht="117" customHeight="1">
      <c r="A37" s="118" t="s">
        <v>223</v>
      </c>
      <c r="B37" s="538" t="s">
        <v>224</v>
      </c>
      <c r="C37" s="119" t="s">
        <v>42</v>
      </c>
      <c r="D37" s="571" t="s">
        <v>220</v>
      </c>
      <c r="E37" s="21">
        <f t="shared" si="7"/>
        <v>0</v>
      </c>
      <c r="F37" s="121">
        <v>0</v>
      </c>
      <c r="G37" s="21">
        <f t="shared" si="8"/>
        <v>0</v>
      </c>
      <c r="H37" s="121">
        <v>0</v>
      </c>
      <c r="I37" s="121">
        <v>0</v>
      </c>
      <c r="J37" s="121">
        <v>0</v>
      </c>
      <c r="K37" s="121">
        <v>0</v>
      </c>
      <c r="L37" s="119" t="s">
        <v>42</v>
      </c>
      <c r="M37" s="286"/>
    </row>
    <row r="38" spans="1:13" s="47" customFormat="1" ht="127.5" customHeight="1">
      <c r="A38" s="118" t="s">
        <v>225</v>
      </c>
      <c r="B38" s="80" t="s">
        <v>226</v>
      </c>
      <c r="C38" s="1" t="s">
        <v>227</v>
      </c>
      <c r="D38" s="3">
        <v>2021</v>
      </c>
      <c r="E38" s="21">
        <f t="shared" si="7"/>
        <v>0</v>
      </c>
      <c r="F38" s="121">
        <v>0</v>
      </c>
      <c r="G38" s="21">
        <f t="shared" si="8"/>
        <v>0</v>
      </c>
      <c r="H38" s="21">
        <v>0</v>
      </c>
      <c r="I38" s="21">
        <v>0</v>
      </c>
      <c r="J38" s="21">
        <v>0</v>
      </c>
      <c r="K38" s="21">
        <v>0</v>
      </c>
      <c r="L38" s="119" t="s">
        <v>42</v>
      </c>
      <c r="M38" s="286"/>
    </row>
    <row r="39" spans="1:13" s="47" customFormat="1" ht="187.5" customHeight="1">
      <c r="A39" s="118" t="s">
        <v>228</v>
      </c>
      <c r="B39" s="2" t="s">
        <v>229</v>
      </c>
      <c r="C39" s="1" t="s">
        <v>42</v>
      </c>
      <c r="D39" s="3">
        <v>2021</v>
      </c>
      <c r="E39" s="21">
        <f t="shared" si="7"/>
        <v>0</v>
      </c>
      <c r="F39" s="121"/>
      <c r="G39" s="21">
        <f t="shared" si="8"/>
        <v>0</v>
      </c>
      <c r="H39" s="21">
        <v>0</v>
      </c>
      <c r="I39" s="21">
        <v>0</v>
      </c>
      <c r="J39" s="21">
        <v>0</v>
      </c>
      <c r="K39" s="21">
        <v>0</v>
      </c>
      <c r="L39" s="119" t="s">
        <v>42</v>
      </c>
      <c r="M39" s="286"/>
    </row>
    <row r="40" spans="1:13" s="47" customFormat="1" ht="133.5" customHeight="1">
      <c r="A40" s="118" t="s">
        <v>230</v>
      </c>
      <c r="B40" s="2" t="s">
        <v>231</v>
      </c>
      <c r="C40" s="1" t="s">
        <v>42</v>
      </c>
      <c r="D40" s="3">
        <v>2021</v>
      </c>
      <c r="E40" s="21">
        <f t="shared" si="7"/>
        <v>0</v>
      </c>
      <c r="F40" s="121"/>
      <c r="G40" s="21">
        <f t="shared" si="8"/>
        <v>0</v>
      </c>
      <c r="H40" s="21">
        <v>0</v>
      </c>
      <c r="I40" s="21">
        <v>0</v>
      </c>
      <c r="J40" s="21">
        <v>0</v>
      </c>
      <c r="K40" s="21">
        <v>0</v>
      </c>
      <c r="L40" s="6"/>
      <c r="M40" s="286"/>
    </row>
    <row r="41" spans="1:13" s="47" customFormat="1" ht="155.25" customHeight="1">
      <c r="A41" s="118" t="s">
        <v>232</v>
      </c>
      <c r="B41" s="80" t="s">
        <v>233</v>
      </c>
      <c r="C41" s="1" t="s">
        <v>42</v>
      </c>
      <c r="D41" s="3">
        <v>2021</v>
      </c>
      <c r="E41" s="21">
        <f t="shared" si="7"/>
        <v>0</v>
      </c>
      <c r="F41" s="121"/>
      <c r="G41" s="21">
        <f t="shared" si="8"/>
        <v>0</v>
      </c>
      <c r="H41" s="21">
        <v>0</v>
      </c>
      <c r="I41" s="21">
        <v>0</v>
      </c>
      <c r="J41" s="21">
        <v>0</v>
      </c>
      <c r="K41" s="21">
        <v>0</v>
      </c>
      <c r="L41" s="119" t="s">
        <v>42</v>
      </c>
      <c r="M41" s="286"/>
    </row>
    <row r="42" spans="1:13" s="47" customFormat="1" ht="185.25" customHeight="1">
      <c r="A42" s="118" t="s">
        <v>234</v>
      </c>
      <c r="B42" s="2" t="s">
        <v>235</v>
      </c>
      <c r="C42" s="1" t="s">
        <v>42</v>
      </c>
      <c r="D42" s="3">
        <v>2021</v>
      </c>
      <c r="E42" s="21">
        <f t="shared" si="7"/>
        <v>0</v>
      </c>
      <c r="F42" s="123"/>
      <c r="G42" s="21">
        <f t="shared" si="8"/>
        <v>0</v>
      </c>
      <c r="H42" s="21">
        <v>0</v>
      </c>
      <c r="I42" s="21">
        <v>0</v>
      </c>
      <c r="J42" s="21">
        <v>0</v>
      </c>
      <c r="K42" s="21">
        <v>0</v>
      </c>
      <c r="L42" s="119" t="s">
        <v>42</v>
      </c>
      <c r="M42" s="287"/>
    </row>
    <row r="43" spans="1:13" s="125" customFormat="1" ht="109.5" customHeight="1">
      <c r="A43" s="265" t="s">
        <v>236</v>
      </c>
      <c r="B43" s="280" t="s">
        <v>268</v>
      </c>
      <c r="C43" s="3"/>
      <c r="D43" s="3">
        <v>2021</v>
      </c>
      <c r="E43" s="21">
        <f aca="true" t="shared" si="9" ref="E43:J43">E44</f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>K44</f>
        <v>0</v>
      </c>
      <c r="L43" s="3"/>
      <c r="M43" s="61"/>
    </row>
    <row r="44" spans="1:13" s="125" customFormat="1" ht="90.75" customHeight="1">
      <c r="A44" s="267"/>
      <c r="B44" s="281"/>
      <c r="C44" s="1" t="s">
        <v>237</v>
      </c>
      <c r="D44" s="1">
        <v>2021</v>
      </c>
      <c r="E44" s="8">
        <f>F44+G44+J44+K44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3"/>
      <c r="M44" s="61"/>
    </row>
    <row r="45" spans="1:13" s="47" customFormat="1" ht="20.25">
      <c r="A45" s="46"/>
      <c r="B45" s="259" t="s">
        <v>238</v>
      </c>
      <c r="C45" s="6"/>
      <c r="D45" s="6">
        <v>2020</v>
      </c>
      <c r="E45" s="126">
        <f aca="true" t="shared" si="10" ref="E45:J45">E15</f>
        <v>1128.3</v>
      </c>
      <c r="F45" s="126">
        <f t="shared" si="10"/>
        <v>0</v>
      </c>
      <c r="G45" s="126">
        <f t="shared" si="10"/>
        <v>1117</v>
      </c>
      <c r="H45" s="126">
        <f t="shared" si="10"/>
        <v>1094.7</v>
      </c>
      <c r="I45" s="126">
        <f t="shared" si="10"/>
        <v>22.3</v>
      </c>
      <c r="J45" s="126">
        <f t="shared" si="10"/>
        <v>11.299999999999997</v>
      </c>
      <c r="K45" s="126">
        <f>K15</f>
        <v>0</v>
      </c>
      <c r="L45" s="6"/>
      <c r="M45" s="16"/>
    </row>
    <row r="46" spans="1:13" s="47" customFormat="1" ht="20.25">
      <c r="A46" s="46"/>
      <c r="B46" s="260"/>
      <c r="C46" s="6"/>
      <c r="D46" s="6">
        <v>2021</v>
      </c>
      <c r="E46" s="126">
        <f aca="true" t="shared" si="11" ref="E46:K46">E25+E30+E33+E43+E16</f>
        <v>6271.3</v>
      </c>
      <c r="F46" s="126">
        <f t="shared" si="11"/>
        <v>0</v>
      </c>
      <c r="G46" s="126">
        <f t="shared" si="11"/>
        <v>6065.5</v>
      </c>
      <c r="H46" s="126">
        <f t="shared" si="11"/>
        <v>5854.1</v>
      </c>
      <c r="I46" s="126">
        <f t="shared" si="11"/>
        <v>211.4</v>
      </c>
      <c r="J46" s="126">
        <f>J25+J30+J33+J43+J16</f>
        <v>205.8</v>
      </c>
      <c r="K46" s="126">
        <f t="shared" si="11"/>
        <v>0</v>
      </c>
      <c r="L46" s="6"/>
      <c r="M46" s="16"/>
    </row>
    <row r="47" spans="1:13" s="47" customFormat="1" ht="20.25">
      <c r="A47" s="46"/>
      <c r="B47" s="260"/>
      <c r="C47" s="6"/>
      <c r="D47" s="6">
        <v>2022</v>
      </c>
      <c r="E47" s="126">
        <f aca="true" t="shared" si="12" ref="E47:K47">E27+E31</f>
        <v>574.7</v>
      </c>
      <c r="F47" s="126">
        <f t="shared" si="12"/>
        <v>0</v>
      </c>
      <c r="G47" s="126">
        <f t="shared" si="12"/>
        <v>500</v>
      </c>
      <c r="H47" s="126">
        <f t="shared" si="12"/>
        <v>445</v>
      </c>
      <c r="I47" s="126">
        <f t="shared" si="12"/>
        <v>55</v>
      </c>
      <c r="J47" s="126">
        <f t="shared" si="12"/>
        <v>74.7</v>
      </c>
      <c r="K47" s="126">
        <f t="shared" si="12"/>
        <v>0</v>
      </c>
      <c r="L47" s="6"/>
      <c r="M47" s="16"/>
    </row>
    <row r="48" spans="1:13" s="47" customFormat="1" ht="20.25">
      <c r="A48" s="46"/>
      <c r="B48" s="261"/>
      <c r="C48" s="6"/>
      <c r="D48" s="6">
        <v>2023</v>
      </c>
      <c r="E48" s="126">
        <f>F48+G48+J48+K48</f>
        <v>0</v>
      </c>
      <c r="F48" s="126">
        <v>0</v>
      </c>
      <c r="G48" s="126">
        <f>H48+I48</f>
        <v>0</v>
      </c>
      <c r="H48" s="126">
        <v>0</v>
      </c>
      <c r="I48" s="126">
        <v>0</v>
      </c>
      <c r="J48" s="126">
        <v>0</v>
      </c>
      <c r="K48" s="126">
        <v>0</v>
      </c>
      <c r="L48" s="6"/>
      <c r="M48" s="16"/>
    </row>
    <row r="49" spans="1:13" s="47" customFormat="1" ht="44.25" customHeight="1">
      <c r="A49" s="46"/>
      <c r="B49" s="6" t="s">
        <v>239</v>
      </c>
      <c r="C49" s="6"/>
      <c r="D49" s="6"/>
      <c r="E49" s="126">
        <f>E45+E46+E47+E48</f>
        <v>7974.3</v>
      </c>
      <c r="F49" s="126">
        <f aca="true" t="shared" si="13" ref="F49:K49">F45+F46+F47+F48</f>
        <v>0</v>
      </c>
      <c r="G49" s="126">
        <f t="shared" si="13"/>
        <v>7682.5</v>
      </c>
      <c r="H49" s="126">
        <f t="shared" si="13"/>
        <v>7393.8</v>
      </c>
      <c r="I49" s="126">
        <f t="shared" si="13"/>
        <v>288.70000000000005</v>
      </c>
      <c r="J49" s="126">
        <f t="shared" si="13"/>
        <v>291.8</v>
      </c>
      <c r="K49" s="126">
        <f t="shared" si="13"/>
        <v>0</v>
      </c>
      <c r="L49" s="6"/>
      <c r="M49" s="16"/>
    </row>
    <row r="50" spans="1:13" s="38" customFormat="1" ht="27.75" customHeight="1">
      <c r="A50" s="296" t="s">
        <v>67</v>
      </c>
      <c r="B50" s="539" t="s">
        <v>275</v>
      </c>
      <c r="C50" s="540"/>
      <c r="D50" s="259">
        <v>2017</v>
      </c>
      <c r="E50" s="573">
        <f>F50+G50+J50+K50</f>
        <v>0</v>
      </c>
      <c r="F50" s="573"/>
      <c r="G50" s="574">
        <f>H50+I50</f>
        <v>0</v>
      </c>
      <c r="H50" s="575"/>
      <c r="I50" s="575">
        <v>0</v>
      </c>
      <c r="J50" s="575">
        <v>0</v>
      </c>
      <c r="K50" s="576"/>
      <c r="L50" s="295" t="s">
        <v>3</v>
      </c>
      <c r="M50" s="291" t="s">
        <v>62</v>
      </c>
    </row>
    <row r="51" spans="1:13" s="38" customFormat="1" ht="23.25" customHeight="1">
      <c r="A51" s="302"/>
      <c r="B51" s="541"/>
      <c r="C51" s="542"/>
      <c r="D51" s="261"/>
      <c r="E51" s="573"/>
      <c r="F51" s="573"/>
      <c r="G51" s="574"/>
      <c r="H51" s="575"/>
      <c r="I51" s="575"/>
      <c r="J51" s="575"/>
      <c r="K51" s="576"/>
      <c r="L51" s="295"/>
      <c r="M51" s="291"/>
    </row>
    <row r="52" spans="1:13" s="38" customFormat="1" ht="30" customHeight="1">
      <c r="A52" s="302"/>
      <c r="B52" s="541"/>
      <c r="C52" s="542"/>
      <c r="D52" s="3">
        <v>2018</v>
      </c>
      <c r="E52" s="21">
        <f>F52+G52+J52+K52</f>
        <v>0</v>
      </c>
      <c r="F52" s="21"/>
      <c r="G52" s="22">
        <f>H52+I52</f>
        <v>0</v>
      </c>
      <c r="H52" s="10"/>
      <c r="I52" s="10">
        <v>0</v>
      </c>
      <c r="J52" s="10">
        <v>0</v>
      </c>
      <c r="K52" s="577"/>
      <c r="L52" s="233" t="s">
        <v>3</v>
      </c>
      <c r="M52" s="291"/>
    </row>
    <row r="53" spans="1:13" s="38" customFormat="1" ht="27.75" customHeight="1">
      <c r="A53" s="302"/>
      <c r="B53" s="541"/>
      <c r="C53" s="542"/>
      <c r="D53" s="3">
        <v>2019</v>
      </c>
      <c r="E53" s="21">
        <f>F53+G53+J53+K53</f>
        <v>0</v>
      </c>
      <c r="F53" s="22"/>
      <c r="G53" s="22">
        <f>H53+I53</f>
        <v>0</v>
      </c>
      <c r="H53" s="22"/>
      <c r="I53" s="10">
        <v>0</v>
      </c>
      <c r="J53" s="10">
        <v>0</v>
      </c>
      <c r="K53" s="577"/>
      <c r="L53" s="233" t="s">
        <v>3</v>
      </c>
      <c r="M53" s="291"/>
    </row>
    <row r="54" spans="1:13" s="38" customFormat="1" ht="30" customHeight="1">
      <c r="A54" s="302"/>
      <c r="B54" s="541"/>
      <c r="C54" s="542"/>
      <c r="D54" s="3">
        <v>2020</v>
      </c>
      <c r="E54" s="21">
        <f>F54+G54+J54+K54</f>
        <v>78.89038</v>
      </c>
      <c r="F54" s="21"/>
      <c r="G54" s="22">
        <f>H54+I54</f>
        <v>0</v>
      </c>
      <c r="H54" s="22"/>
      <c r="I54" s="10">
        <v>0</v>
      </c>
      <c r="J54" s="10">
        <f>63.89+15.00038</f>
        <v>78.89038</v>
      </c>
      <c r="K54" s="10"/>
      <c r="L54" s="210" t="s">
        <v>3</v>
      </c>
      <c r="M54" s="291"/>
    </row>
    <row r="55" spans="1:13" s="38" customFormat="1" ht="30" customHeight="1">
      <c r="A55" s="302"/>
      <c r="B55" s="541"/>
      <c r="C55" s="542"/>
      <c r="D55" s="3">
        <v>2021</v>
      </c>
      <c r="E55" s="21">
        <f>F55+G55+J55+K55</f>
        <v>0</v>
      </c>
      <c r="F55" s="21"/>
      <c r="G55" s="22">
        <f>H55+I55</f>
        <v>0</v>
      </c>
      <c r="H55" s="22"/>
      <c r="I55" s="10">
        <v>0</v>
      </c>
      <c r="J55" s="10">
        <v>0</v>
      </c>
      <c r="K55" s="10"/>
      <c r="L55" s="210" t="s">
        <v>3</v>
      </c>
      <c r="M55" s="291"/>
    </row>
    <row r="56" spans="1:13" s="38" customFormat="1" ht="33.75" customHeight="1">
      <c r="A56" s="297"/>
      <c r="B56" s="543"/>
      <c r="C56" s="544"/>
      <c r="D56" s="3">
        <v>2023</v>
      </c>
      <c r="E56" s="21">
        <v>0</v>
      </c>
      <c r="F56" s="21">
        <v>0</v>
      </c>
      <c r="G56" s="21">
        <v>0</v>
      </c>
      <c r="H56" s="21">
        <v>0</v>
      </c>
      <c r="I56" s="8">
        <v>0</v>
      </c>
      <c r="J56" s="8">
        <v>0</v>
      </c>
      <c r="K56" s="8">
        <v>0</v>
      </c>
      <c r="L56" s="210" t="s">
        <v>3</v>
      </c>
      <c r="M56" s="12"/>
    </row>
    <row r="57" spans="1:13" s="38" customFormat="1" ht="33.75" customHeight="1">
      <c r="A57" s="436" t="s">
        <v>68</v>
      </c>
      <c r="B57" s="321" t="s">
        <v>259</v>
      </c>
      <c r="C57" s="322"/>
      <c r="D57" s="3">
        <v>2017</v>
      </c>
      <c r="E57" s="21">
        <f aca="true" t="shared" si="14" ref="E57:K58">E64</f>
        <v>155.5623</v>
      </c>
      <c r="F57" s="21">
        <f t="shared" si="14"/>
        <v>0</v>
      </c>
      <c r="G57" s="21">
        <f t="shared" si="14"/>
        <v>0</v>
      </c>
      <c r="H57" s="21">
        <f t="shared" si="14"/>
        <v>0</v>
      </c>
      <c r="I57" s="21">
        <f t="shared" si="14"/>
        <v>0</v>
      </c>
      <c r="J57" s="21">
        <f t="shared" si="14"/>
        <v>155.5623</v>
      </c>
      <c r="K57" s="21">
        <f t="shared" si="14"/>
        <v>0</v>
      </c>
      <c r="L57" s="234"/>
      <c r="M57" s="145"/>
    </row>
    <row r="58" spans="1:13" s="38" customFormat="1" ht="33" customHeight="1">
      <c r="A58" s="437"/>
      <c r="B58" s="323"/>
      <c r="C58" s="324"/>
      <c r="D58" s="3">
        <v>2018</v>
      </c>
      <c r="E58" s="21">
        <f t="shared" si="14"/>
        <v>394.40002999999996</v>
      </c>
      <c r="F58" s="21">
        <f t="shared" si="14"/>
        <v>0</v>
      </c>
      <c r="G58" s="21">
        <f t="shared" si="14"/>
        <v>0</v>
      </c>
      <c r="H58" s="21">
        <f t="shared" si="14"/>
        <v>0</v>
      </c>
      <c r="I58" s="21">
        <f t="shared" si="14"/>
        <v>0</v>
      </c>
      <c r="J58" s="21">
        <f t="shared" si="14"/>
        <v>394.40002999999996</v>
      </c>
      <c r="K58" s="21">
        <f t="shared" si="14"/>
        <v>0</v>
      </c>
      <c r="L58" s="234"/>
      <c r="M58" s="145"/>
    </row>
    <row r="59" spans="1:13" s="38" customFormat="1" ht="39" customHeight="1">
      <c r="A59" s="437"/>
      <c r="B59" s="323"/>
      <c r="C59" s="324"/>
      <c r="D59" s="3">
        <v>2019</v>
      </c>
      <c r="E59" s="21">
        <f aca="true" t="shared" si="15" ref="E59:K60">E66+E71+E73</f>
        <v>236.87999999999997</v>
      </c>
      <c r="F59" s="21">
        <f t="shared" si="15"/>
        <v>0</v>
      </c>
      <c r="G59" s="21">
        <f t="shared" si="15"/>
        <v>0</v>
      </c>
      <c r="H59" s="21">
        <f t="shared" si="15"/>
        <v>0</v>
      </c>
      <c r="I59" s="21">
        <f t="shared" si="15"/>
        <v>0</v>
      </c>
      <c r="J59" s="21">
        <f t="shared" si="15"/>
        <v>236.87999999999997</v>
      </c>
      <c r="K59" s="21">
        <f t="shared" si="15"/>
        <v>0</v>
      </c>
      <c r="L59" s="234"/>
      <c r="M59" s="145"/>
    </row>
    <row r="60" spans="1:13" s="38" customFormat="1" ht="33" customHeight="1">
      <c r="A60" s="437"/>
      <c r="B60" s="323"/>
      <c r="C60" s="324"/>
      <c r="D60" s="3">
        <v>2020</v>
      </c>
      <c r="E60" s="21">
        <f t="shared" si="15"/>
        <v>156.84791999999996</v>
      </c>
      <c r="F60" s="21">
        <f t="shared" si="15"/>
        <v>0</v>
      </c>
      <c r="G60" s="21">
        <f t="shared" si="15"/>
        <v>0</v>
      </c>
      <c r="H60" s="21">
        <f t="shared" si="15"/>
        <v>0</v>
      </c>
      <c r="I60" s="21">
        <f t="shared" si="15"/>
        <v>0</v>
      </c>
      <c r="J60" s="21">
        <f t="shared" si="15"/>
        <v>156.84791999999996</v>
      </c>
      <c r="K60" s="21">
        <f t="shared" si="15"/>
        <v>0</v>
      </c>
      <c r="L60" s="234"/>
      <c r="M60" s="145"/>
    </row>
    <row r="61" spans="1:13" s="38" customFormat="1" ht="33" customHeight="1">
      <c r="A61" s="437"/>
      <c r="B61" s="323"/>
      <c r="C61" s="324"/>
      <c r="D61" s="3">
        <v>2021</v>
      </c>
      <c r="E61" s="21">
        <f aca="true" t="shared" si="16" ref="E61:K63">E68</f>
        <v>76.53</v>
      </c>
      <c r="F61" s="21">
        <f t="shared" si="16"/>
        <v>0</v>
      </c>
      <c r="G61" s="21">
        <f t="shared" si="16"/>
        <v>0</v>
      </c>
      <c r="H61" s="21">
        <f t="shared" si="16"/>
        <v>0</v>
      </c>
      <c r="I61" s="21">
        <f t="shared" si="16"/>
        <v>0</v>
      </c>
      <c r="J61" s="21">
        <f t="shared" si="16"/>
        <v>76.53</v>
      </c>
      <c r="K61" s="21">
        <f t="shared" si="16"/>
        <v>0</v>
      </c>
      <c r="L61" s="234"/>
      <c r="M61" s="145"/>
    </row>
    <row r="62" spans="1:13" s="38" customFormat="1" ht="30" customHeight="1">
      <c r="A62" s="437"/>
      <c r="B62" s="323"/>
      <c r="C62" s="324"/>
      <c r="D62" s="3">
        <v>2022</v>
      </c>
      <c r="E62" s="21">
        <f t="shared" si="16"/>
        <v>0</v>
      </c>
      <c r="F62" s="21">
        <f t="shared" si="16"/>
        <v>0</v>
      </c>
      <c r="G62" s="21">
        <f t="shared" si="16"/>
        <v>0</v>
      </c>
      <c r="H62" s="21">
        <f t="shared" si="16"/>
        <v>0</v>
      </c>
      <c r="I62" s="21">
        <f t="shared" si="16"/>
        <v>0</v>
      </c>
      <c r="J62" s="21">
        <f t="shared" si="16"/>
        <v>0</v>
      </c>
      <c r="K62" s="21">
        <f t="shared" si="16"/>
        <v>0</v>
      </c>
      <c r="L62" s="234"/>
      <c r="M62" s="145"/>
    </row>
    <row r="63" spans="1:13" s="38" customFormat="1" ht="30" customHeight="1">
      <c r="A63" s="438"/>
      <c r="B63" s="325"/>
      <c r="C63" s="326"/>
      <c r="D63" s="3">
        <v>2023</v>
      </c>
      <c r="E63" s="21">
        <f t="shared" si="16"/>
        <v>0</v>
      </c>
      <c r="F63" s="21">
        <f aca="true" t="shared" si="17" ref="F63:K63">F70</f>
        <v>0</v>
      </c>
      <c r="G63" s="21">
        <f t="shared" si="17"/>
        <v>0</v>
      </c>
      <c r="H63" s="21">
        <f t="shared" si="17"/>
        <v>0</v>
      </c>
      <c r="I63" s="21">
        <f t="shared" si="17"/>
        <v>0</v>
      </c>
      <c r="J63" s="21">
        <f t="shared" si="17"/>
        <v>0</v>
      </c>
      <c r="K63" s="21">
        <f t="shared" si="17"/>
        <v>0</v>
      </c>
      <c r="L63" s="234"/>
      <c r="M63" s="145"/>
    </row>
    <row r="64" spans="1:13" s="38" customFormat="1" ht="55.5" customHeight="1">
      <c r="A64" s="309" t="s">
        <v>258</v>
      </c>
      <c r="B64" s="303" t="s">
        <v>146</v>
      </c>
      <c r="C64" s="304"/>
      <c r="D64" s="1">
        <v>2017</v>
      </c>
      <c r="E64" s="8">
        <f aca="true" t="shared" si="18" ref="E64:E71">F64+I64+J64+K64</f>
        <v>155.5623</v>
      </c>
      <c r="F64" s="8"/>
      <c r="G64" s="8">
        <f aca="true" t="shared" si="19" ref="G64:G71">H64+I64</f>
        <v>0</v>
      </c>
      <c r="H64" s="578"/>
      <c r="I64" s="8">
        <v>0</v>
      </c>
      <c r="J64" s="8">
        <f>40+68.197-39.45+0.42+51.795+4.6003+30</f>
        <v>155.5623</v>
      </c>
      <c r="K64" s="578"/>
      <c r="L64" s="210" t="s">
        <v>6</v>
      </c>
      <c r="M64" s="291" t="s">
        <v>53</v>
      </c>
    </row>
    <row r="65" spans="1:13" s="38" customFormat="1" ht="57.75" customHeight="1">
      <c r="A65" s="310"/>
      <c r="B65" s="305"/>
      <c r="C65" s="306"/>
      <c r="D65" s="1">
        <v>2018</v>
      </c>
      <c r="E65" s="8">
        <f t="shared" si="18"/>
        <v>394.40002999999996</v>
      </c>
      <c r="F65" s="8"/>
      <c r="G65" s="8">
        <f t="shared" si="19"/>
        <v>0</v>
      </c>
      <c r="H65" s="578"/>
      <c r="I65" s="8">
        <v>0</v>
      </c>
      <c r="J65" s="8">
        <f>325-70-60+150-5.5-9.25-8.1+41.63+30.62003</f>
        <v>394.40002999999996</v>
      </c>
      <c r="K65" s="578"/>
      <c r="L65" s="210" t="s">
        <v>109</v>
      </c>
      <c r="M65" s="291"/>
    </row>
    <row r="66" spans="1:13" s="38" customFormat="1" ht="50.25" customHeight="1">
      <c r="A66" s="310"/>
      <c r="B66" s="305"/>
      <c r="C66" s="306"/>
      <c r="D66" s="1">
        <v>2019</v>
      </c>
      <c r="E66" s="8">
        <f t="shared" si="18"/>
        <v>194.37999999999997</v>
      </c>
      <c r="F66" s="8"/>
      <c r="G66" s="8">
        <f t="shared" si="19"/>
        <v>0</v>
      </c>
      <c r="H66" s="578"/>
      <c r="I66" s="8">
        <v>0</v>
      </c>
      <c r="J66" s="8">
        <f>363.78-1.1-12.25-15.357-19-61.293-19-42.5+1.1</f>
        <v>194.37999999999997</v>
      </c>
      <c r="K66" s="578"/>
      <c r="L66" s="210" t="s">
        <v>26</v>
      </c>
      <c r="M66" s="291"/>
    </row>
    <row r="67" spans="1:13" s="38" customFormat="1" ht="45" customHeight="1">
      <c r="A67" s="310"/>
      <c r="B67" s="305"/>
      <c r="C67" s="306"/>
      <c r="D67" s="1">
        <v>2020</v>
      </c>
      <c r="E67" s="8">
        <f t="shared" si="18"/>
        <v>113.44791999999995</v>
      </c>
      <c r="F67" s="8"/>
      <c r="G67" s="8">
        <f t="shared" si="19"/>
        <v>0</v>
      </c>
      <c r="H67" s="578"/>
      <c r="I67" s="8">
        <v>0</v>
      </c>
      <c r="J67" s="8">
        <f>276.53-9.9657-43.4-1.781-40-4.2-3-13.2+26.355-63.89-10.00038</f>
        <v>113.44791999999995</v>
      </c>
      <c r="K67" s="578"/>
      <c r="L67" s="222" t="s">
        <v>26</v>
      </c>
      <c r="M67" s="291"/>
    </row>
    <row r="68" spans="1:13" s="38" customFormat="1" ht="50.25" customHeight="1">
      <c r="A68" s="310"/>
      <c r="B68" s="305"/>
      <c r="C68" s="306"/>
      <c r="D68" s="1">
        <v>2021</v>
      </c>
      <c r="E68" s="8">
        <f>F68+I68+J68+K68</f>
        <v>76.53</v>
      </c>
      <c r="F68" s="8"/>
      <c r="G68" s="8">
        <f>H68+I68</f>
        <v>0</v>
      </c>
      <c r="H68" s="578"/>
      <c r="I68" s="8">
        <v>0</v>
      </c>
      <c r="J68" s="8">
        <v>76.53</v>
      </c>
      <c r="K68" s="578"/>
      <c r="L68" s="222"/>
      <c r="M68" s="291"/>
    </row>
    <row r="69" spans="1:13" s="38" customFormat="1" ht="51" customHeight="1">
      <c r="A69" s="310"/>
      <c r="B69" s="305"/>
      <c r="C69" s="306"/>
      <c r="D69" s="1">
        <v>2022</v>
      </c>
      <c r="E69" s="8">
        <f t="shared" si="18"/>
        <v>0</v>
      </c>
      <c r="F69" s="8"/>
      <c r="G69" s="8">
        <f t="shared" si="19"/>
        <v>0</v>
      </c>
      <c r="H69" s="578"/>
      <c r="I69" s="8">
        <v>0</v>
      </c>
      <c r="J69" s="8">
        <v>0</v>
      </c>
      <c r="K69" s="578"/>
      <c r="L69" s="222" t="s">
        <v>26</v>
      </c>
      <c r="M69" s="291"/>
    </row>
    <row r="70" spans="1:13" s="38" customFormat="1" ht="51" customHeight="1">
      <c r="A70" s="311"/>
      <c r="B70" s="307"/>
      <c r="C70" s="308"/>
      <c r="D70" s="1">
        <v>2023</v>
      </c>
      <c r="E70" s="8">
        <f t="shared" si="18"/>
        <v>0</v>
      </c>
      <c r="F70" s="8"/>
      <c r="G70" s="8">
        <f t="shared" si="19"/>
        <v>0</v>
      </c>
      <c r="H70" s="578"/>
      <c r="I70" s="8">
        <v>0</v>
      </c>
      <c r="J70" s="8">
        <v>0</v>
      </c>
      <c r="K70" s="578"/>
      <c r="L70" s="222"/>
      <c r="M70" s="12"/>
    </row>
    <row r="71" spans="1:13" s="38" customFormat="1" ht="35.25" customHeight="1">
      <c r="A71" s="296" t="s">
        <v>142</v>
      </c>
      <c r="B71" s="298" t="s">
        <v>143</v>
      </c>
      <c r="C71" s="299"/>
      <c r="D71" s="1">
        <v>2019</v>
      </c>
      <c r="E71" s="8">
        <f t="shared" si="18"/>
        <v>0</v>
      </c>
      <c r="F71" s="8"/>
      <c r="G71" s="8">
        <f t="shared" si="19"/>
        <v>0</v>
      </c>
      <c r="H71" s="578"/>
      <c r="I71" s="8">
        <v>0</v>
      </c>
      <c r="J71" s="8">
        <v>0</v>
      </c>
      <c r="K71" s="578"/>
      <c r="L71" s="222"/>
      <c r="M71" s="12"/>
    </row>
    <row r="72" spans="1:13" s="38" customFormat="1" ht="39" customHeight="1">
      <c r="A72" s="297"/>
      <c r="B72" s="300"/>
      <c r="C72" s="301"/>
      <c r="D72" s="1">
        <v>2020</v>
      </c>
      <c r="E72" s="8">
        <f aca="true" t="shared" si="20" ref="E72:E77">F72+I72+J72+K72</f>
        <v>0</v>
      </c>
      <c r="F72" s="8"/>
      <c r="G72" s="8">
        <f aca="true" t="shared" si="21" ref="G72:G77">H72+I72</f>
        <v>0</v>
      </c>
      <c r="H72" s="578"/>
      <c r="I72" s="8">
        <v>0</v>
      </c>
      <c r="J72" s="8">
        <v>0</v>
      </c>
      <c r="K72" s="578"/>
      <c r="L72" s="222"/>
      <c r="M72" s="12"/>
    </row>
    <row r="73" spans="1:13" s="38" customFormat="1" ht="24.75" customHeight="1">
      <c r="A73" s="296" t="s">
        <v>199</v>
      </c>
      <c r="B73" s="298" t="s">
        <v>200</v>
      </c>
      <c r="C73" s="299"/>
      <c r="D73" s="1">
        <v>2019</v>
      </c>
      <c r="E73" s="8">
        <f t="shared" si="20"/>
        <v>42.5</v>
      </c>
      <c r="F73" s="8"/>
      <c r="G73" s="8">
        <f t="shared" si="21"/>
        <v>0</v>
      </c>
      <c r="H73" s="578"/>
      <c r="I73" s="8"/>
      <c r="J73" s="8">
        <v>42.5</v>
      </c>
      <c r="K73" s="578"/>
      <c r="L73" s="222" t="s">
        <v>251</v>
      </c>
      <c r="M73" s="12"/>
    </row>
    <row r="74" spans="1:13" s="38" customFormat="1" ht="24.75" customHeight="1">
      <c r="A74" s="302"/>
      <c r="B74" s="313"/>
      <c r="C74" s="314"/>
      <c r="D74" s="1">
        <v>2020</v>
      </c>
      <c r="E74" s="8">
        <f t="shared" si="20"/>
        <v>43.4</v>
      </c>
      <c r="F74" s="8"/>
      <c r="G74" s="8">
        <f t="shared" si="21"/>
        <v>0</v>
      </c>
      <c r="H74" s="578"/>
      <c r="I74" s="8"/>
      <c r="J74" s="8">
        <v>43.4</v>
      </c>
      <c r="K74" s="578"/>
      <c r="L74" s="222" t="s">
        <v>251</v>
      </c>
      <c r="M74" s="12"/>
    </row>
    <row r="75" spans="1:13" s="38" customFormat="1" ht="24.75" customHeight="1">
      <c r="A75" s="302"/>
      <c r="B75" s="313"/>
      <c r="C75" s="314"/>
      <c r="D75" s="1">
        <v>2021</v>
      </c>
      <c r="E75" s="8">
        <f t="shared" si="20"/>
        <v>0</v>
      </c>
      <c r="F75" s="8"/>
      <c r="G75" s="8">
        <f t="shared" si="21"/>
        <v>0</v>
      </c>
      <c r="H75" s="578"/>
      <c r="I75" s="8"/>
      <c r="J75" s="8">
        <v>0</v>
      </c>
      <c r="K75" s="578"/>
      <c r="L75" s="222"/>
      <c r="M75" s="12"/>
    </row>
    <row r="76" spans="1:13" s="38" customFormat="1" ht="24.75" customHeight="1">
      <c r="A76" s="302"/>
      <c r="B76" s="313"/>
      <c r="C76" s="314"/>
      <c r="D76" s="1">
        <v>2022</v>
      </c>
      <c r="E76" s="8">
        <f t="shared" si="20"/>
        <v>0</v>
      </c>
      <c r="F76" s="8"/>
      <c r="G76" s="8">
        <f t="shared" si="21"/>
        <v>0</v>
      </c>
      <c r="H76" s="578"/>
      <c r="I76" s="8"/>
      <c r="J76" s="8">
        <v>0</v>
      </c>
      <c r="K76" s="578"/>
      <c r="L76" s="222"/>
      <c r="M76" s="12"/>
    </row>
    <row r="77" spans="1:13" s="38" customFormat="1" ht="24.75" customHeight="1">
      <c r="A77" s="297"/>
      <c r="B77" s="300"/>
      <c r="C77" s="301"/>
      <c r="D77" s="1">
        <v>2023</v>
      </c>
      <c r="E77" s="8">
        <f t="shared" si="20"/>
        <v>0</v>
      </c>
      <c r="F77" s="8"/>
      <c r="G77" s="8">
        <f t="shared" si="21"/>
        <v>0</v>
      </c>
      <c r="H77" s="578"/>
      <c r="I77" s="8"/>
      <c r="J77" s="8">
        <v>0</v>
      </c>
      <c r="K77" s="578"/>
      <c r="L77" s="222"/>
      <c r="M77" s="12"/>
    </row>
    <row r="78" spans="1:13" s="38" customFormat="1" ht="24.75" customHeight="1">
      <c r="A78" s="312" t="s">
        <v>69</v>
      </c>
      <c r="B78" s="298" t="s">
        <v>70</v>
      </c>
      <c r="C78" s="299"/>
      <c r="D78" s="3">
        <v>2017</v>
      </c>
      <c r="E78" s="579">
        <f aca="true" t="shared" si="22" ref="E78:E84">F78+G78+J78+K78</f>
        <v>11</v>
      </c>
      <c r="F78" s="579"/>
      <c r="G78" s="237">
        <f aca="true" t="shared" si="23" ref="G78:G85">H78+I78</f>
        <v>0</v>
      </c>
      <c r="H78" s="580"/>
      <c r="I78" s="238">
        <v>0</v>
      </c>
      <c r="J78" s="238">
        <f>11</f>
        <v>11</v>
      </c>
      <c r="K78" s="237"/>
      <c r="L78" s="222" t="s">
        <v>5</v>
      </c>
      <c r="M78" s="291" t="s">
        <v>52</v>
      </c>
    </row>
    <row r="79" spans="1:13" s="38" customFormat="1" ht="24.75" customHeight="1">
      <c r="A79" s="312"/>
      <c r="B79" s="313"/>
      <c r="C79" s="314"/>
      <c r="D79" s="3">
        <v>2018</v>
      </c>
      <c r="E79" s="579">
        <f t="shared" si="22"/>
        <v>0</v>
      </c>
      <c r="F79" s="579"/>
      <c r="G79" s="237">
        <f t="shared" si="23"/>
        <v>0</v>
      </c>
      <c r="H79" s="580"/>
      <c r="I79" s="238">
        <v>0</v>
      </c>
      <c r="J79" s="238">
        <v>0</v>
      </c>
      <c r="K79" s="237"/>
      <c r="L79" s="222" t="s">
        <v>4</v>
      </c>
      <c r="M79" s="291"/>
    </row>
    <row r="80" spans="1:13" s="38" customFormat="1" ht="24.75" customHeight="1">
      <c r="A80" s="312"/>
      <c r="B80" s="313"/>
      <c r="C80" s="314"/>
      <c r="D80" s="3">
        <v>2019</v>
      </c>
      <c r="E80" s="579">
        <f t="shared" si="22"/>
        <v>0</v>
      </c>
      <c r="F80" s="579"/>
      <c r="G80" s="237">
        <f t="shared" si="23"/>
        <v>0</v>
      </c>
      <c r="H80" s="580"/>
      <c r="I80" s="238">
        <v>0</v>
      </c>
      <c r="J80" s="238">
        <v>0</v>
      </c>
      <c r="K80" s="237"/>
      <c r="L80" s="222" t="s">
        <v>4</v>
      </c>
      <c r="M80" s="291"/>
    </row>
    <row r="81" spans="1:13" s="38" customFormat="1" ht="24.75" customHeight="1">
      <c r="A81" s="312"/>
      <c r="B81" s="313"/>
      <c r="C81" s="314"/>
      <c r="D81" s="3">
        <v>2020</v>
      </c>
      <c r="E81" s="579">
        <f t="shared" si="22"/>
        <v>0</v>
      </c>
      <c r="F81" s="579"/>
      <c r="G81" s="237">
        <f t="shared" si="23"/>
        <v>0</v>
      </c>
      <c r="H81" s="580"/>
      <c r="I81" s="238">
        <v>0</v>
      </c>
      <c r="J81" s="238">
        <v>0</v>
      </c>
      <c r="K81" s="237"/>
      <c r="L81" s="222" t="s">
        <v>4</v>
      </c>
      <c r="M81" s="291"/>
    </row>
    <row r="82" spans="1:13" s="38" customFormat="1" ht="24.75" customHeight="1">
      <c r="A82" s="312"/>
      <c r="B82" s="313"/>
      <c r="C82" s="314"/>
      <c r="D82" s="3">
        <v>2021</v>
      </c>
      <c r="E82" s="579">
        <f>F82+G82+J82+K82</f>
        <v>0</v>
      </c>
      <c r="F82" s="579"/>
      <c r="G82" s="237">
        <f>H82+I82</f>
        <v>0</v>
      </c>
      <c r="H82" s="580"/>
      <c r="I82" s="238">
        <v>0</v>
      </c>
      <c r="J82" s="238">
        <v>0</v>
      </c>
      <c r="K82" s="237"/>
      <c r="L82" s="222"/>
      <c r="M82" s="291"/>
    </row>
    <row r="83" spans="1:13" s="38" customFormat="1" ht="24.75" customHeight="1">
      <c r="A83" s="312"/>
      <c r="B83" s="300"/>
      <c r="C83" s="301"/>
      <c r="D83" s="3">
        <v>2022</v>
      </c>
      <c r="E83" s="579">
        <f t="shared" si="22"/>
        <v>0</v>
      </c>
      <c r="F83" s="579"/>
      <c r="G83" s="237">
        <f t="shared" si="23"/>
        <v>0</v>
      </c>
      <c r="H83" s="580"/>
      <c r="I83" s="238">
        <v>0</v>
      </c>
      <c r="J83" s="238">
        <v>0</v>
      </c>
      <c r="K83" s="237"/>
      <c r="L83" s="222" t="s">
        <v>4</v>
      </c>
      <c r="M83" s="291"/>
    </row>
    <row r="84" spans="1:13" s="38" customFormat="1" ht="41.25" customHeight="1">
      <c r="A84" s="296" t="s">
        <v>71</v>
      </c>
      <c r="B84" s="315" t="s">
        <v>249</v>
      </c>
      <c r="C84" s="316"/>
      <c r="D84" s="3">
        <v>2017</v>
      </c>
      <c r="E84" s="21">
        <f t="shared" si="22"/>
        <v>34.265</v>
      </c>
      <c r="F84" s="21"/>
      <c r="G84" s="8">
        <f t="shared" si="23"/>
        <v>0</v>
      </c>
      <c r="H84" s="8"/>
      <c r="I84" s="8">
        <v>0</v>
      </c>
      <c r="J84" s="8">
        <f>100-13.94-51.795</f>
        <v>34.265</v>
      </c>
      <c r="K84" s="8"/>
      <c r="L84" s="222" t="s">
        <v>3</v>
      </c>
      <c r="M84" s="291" t="s">
        <v>51</v>
      </c>
    </row>
    <row r="85" spans="1:13" s="38" customFormat="1" ht="21.75" customHeight="1">
      <c r="A85" s="302"/>
      <c r="B85" s="317"/>
      <c r="C85" s="318"/>
      <c r="D85" s="250">
        <v>2018</v>
      </c>
      <c r="E85" s="573">
        <f>F85+G85+J85+K86</f>
        <v>22.85</v>
      </c>
      <c r="F85" s="573"/>
      <c r="G85" s="575">
        <f t="shared" si="23"/>
        <v>0</v>
      </c>
      <c r="H85" s="575"/>
      <c r="I85" s="575">
        <v>0</v>
      </c>
      <c r="J85" s="575">
        <f>5.5+9.25+8.1</f>
        <v>22.85</v>
      </c>
      <c r="K85" s="581"/>
      <c r="L85" s="327" t="s">
        <v>3</v>
      </c>
      <c r="M85" s="291"/>
    </row>
    <row r="86" spans="1:13" s="38" customFormat="1" ht="18.75" customHeight="1">
      <c r="A86" s="302"/>
      <c r="B86" s="317"/>
      <c r="C86" s="318"/>
      <c r="D86" s="250"/>
      <c r="E86" s="573"/>
      <c r="F86" s="573"/>
      <c r="G86" s="575"/>
      <c r="H86" s="575"/>
      <c r="I86" s="575"/>
      <c r="J86" s="575"/>
      <c r="K86" s="582"/>
      <c r="L86" s="327"/>
      <c r="M86" s="291"/>
    </row>
    <row r="87" spans="1:13" s="38" customFormat="1" ht="33" customHeight="1">
      <c r="A87" s="302"/>
      <c r="B87" s="317"/>
      <c r="C87" s="318"/>
      <c r="D87" s="3">
        <v>2019</v>
      </c>
      <c r="E87" s="21">
        <f aca="true" t="shared" si="24" ref="E87:E98">F87+G87+J87+K87</f>
        <v>35.1</v>
      </c>
      <c r="F87" s="8"/>
      <c r="G87" s="8">
        <f aca="true" t="shared" si="25" ref="G87:G98">H87+I87</f>
        <v>0</v>
      </c>
      <c r="H87" s="8"/>
      <c r="I87" s="8">
        <v>0</v>
      </c>
      <c r="J87" s="8">
        <f>22.85+12.25</f>
        <v>35.1</v>
      </c>
      <c r="K87" s="578"/>
      <c r="L87" s="222" t="s">
        <v>3</v>
      </c>
      <c r="M87" s="291"/>
    </row>
    <row r="88" spans="1:13" s="38" customFormat="1" ht="36.75" customHeight="1">
      <c r="A88" s="302"/>
      <c r="B88" s="317"/>
      <c r="C88" s="318"/>
      <c r="D88" s="3">
        <v>2020</v>
      </c>
      <c r="E88" s="21">
        <f>F88+G88+J88+K88</f>
        <v>65.4657</v>
      </c>
      <c r="F88" s="8"/>
      <c r="G88" s="8">
        <f>H88+I88</f>
        <v>0</v>
      </c>
      <c r="H88" s="8"/>
      <c r="I88" s="8">
        <v>0</v>
      </c>
      <c r="J88" s="8">
        <f>35.1+9.9657+4.2+3+13.2</f>
        <v>65.4657</v>
      </c>
      <c r="K88" s="578"/>
      <c r="L88" s="222" t="s">
        <v>3</v>
      </c>
      <c r="M88" s="12"/>
    </row>
    <row r="89" spans="1:13" s="38" customFormat="1" ht="34.5" customHeight="1">
      <c r="A89" s="302"/>
      <c r="B89" s="317"/>
      <c r="C89" s="318"/>
      <c r="D89" s="3">
        <v>2021</v>
      </c>
      <c r="E89" s="21">
        <f>F89+G89+J89+K89</f>
        <v>35.1</v>
      </c>
      <c r="F89" s="8"/>
      <c r="G89" s="8">
        <f>H89+I89</f>
        <v>0</v>
      </c>
      <c r="H89" s="8"/>
      <c r="I89" s="8">
        <v>0</v>
      </c>
      <c r="J89" s="8">
        <v>35.1</v>
      </c>
      <c r="K89" s="578"/>
      <c r="L89" s="222"/>
      <c r="M89" s="12"/>
    </row>
    <row r="90" spans="1:13" s="38" customFormat="1" ht="33.75" customHeight="1">
      <c r="A90" s="302"/>
      <c r="B90" s="317"/>
      <c r="C90" s="318"/>
      <c r="D90" s="3">
        <v>2022</v>
      </c>
      <c r="E90" s="21">
        <f t="shared" si="24"/>
        <v>0</v>
      </c>
      <c r="F90" s="8"/>
      <c r="G90" s="8">
        <f t="shared" si="25"/>
        <v>0</v>
      </c>
      <c r="H90" s="8"/>
      <c r="I90" s="8">
        <v>0</v>
      </c>
      <c r="J90" s="8">
        <v>0</v>
      </c>
      <c r="K90" s="578"/>
      <c r="L90" s="222" t="s">
        <v>3</v>
      </c>
      <c r="M90" s="12"/>
    </row>
    <row r="91" spans="1:13" s="38" customFormat="1" ht="33.75" customHeight="1">
      <c r="A91" s="297"/>
      <c r="B91" s="319"/>
      <c r="C91" s="320"/>
      <c r="D91" s="3">
        <v>2023</v>
      </c>
      <c r="E91" s="21">
        <f t="shared" si="24"/>
        <v>0</v>
      </c>
      <c r="F91" s="8"/>
      <c r="G91" s="8">
        <f t="shared" si="25"/>
        <v>0</v>
      </c>
      <c r="H91" s="8"/>
      <c r="I91" s="8">
        <v>0</v>
      </c>
      <c r="J91" s="8">
        <v>0</v>
      </c>
      <c r="K91" s="578"/>
      <c r="L91" s="222"/>
      <c r="M91" s="12"/>
    </row>
    <row r="92" spans="1:13" s="38" customFormat="1" ht="24.75" customHeight="1">
      <c r="A92" s="296" t="s">
        <v>72</v>
      </c>
      <c r="B92" s="298" t="s">
        <v>73</v>
      </c>
      <c r="C92" s="299"/>
      <c r="D92" s="3">
        <v>2017</v>
      </c>
      <c r="E92" s="21">
        <f t="shared" si="24"/>
        <v>65.3997</v>
      </c>
      <c r="F92" s="8"/>
      <c r="G92" s="8">
        <f t="shared" si="25"/>
        <v>0</v>
      </c>
      <c r="H92" s="578"/>
      <c r="I92" s="8">
        <v>0</v>
      </c>
      <c r="J92" s="8">
        <f>70-4.6003</f>
        <v>65.3997</v>
      </c>
      <c r="K92" s="9"/>
      <c r="L92" s="222" t="s">
        <v>5</v>
      </c>
      <c r="M92" s="291" t="s">
        <v>50</v>
      </c>
    </row>
    <row r="93" spans="1:13" s="38" customFormat="1" ht="24.75" customHeight="1">
      <c r="A93" s="302"/>
      <c r="B93" s="313"/>
      <c r="C93" s="314"/>
      <c r="D93" s="3">
        <v>2018</v>
      </c>
      <c r="E93" s="21">
        <f t="shared" si="24"/>
        <v>60</v>
      </c>
      <c r="F93" s="8"/>
      <c r="G93" s="21">
        <f t="shared" si="25"/>
        <v>0</v>
      </c>
      <c r="H93" s="9"/>
      <c r="I93" s="8">
        <v>0</v>
      </c>
      <c r="J93" s="8">
        <v>60</v>
      </c>
      <c r="K93" s="9"/>
      <c r="L93" s="222" t="s">
        <v>5</v>
      </c>
      <c r="M93" s="291"/>
    </row>
    <row r="94" spans="1:13" s="38" customFormat="1" ht="24.75" customHeight="1">
      <c r="A94" s="302"/>
      <c r="B94" s="313"/>
      <c r="C94" s="314"/>
      <c r="D94" s="3">
        <v>2019</v>
      </c>
      <c r="E94" s="21">
        <f t="shared" si="24"/>
        <v>79</v>
      </c>
      <c r="F94" s="8"/>
      <c r="G94" s="21">
        <f t="shared" si="25"/>
        <v>0</v>
      </c>
      <c r="H94" s="9"/>
      <c r="I94" s="8">
        <v>0</v>
      </c>
      <c r="J94" s="8">
        <f>60+19</f>
        <v>79</v>
      </c>
      <c r="K94" s="9"/>
      <c r="L94" s="222" t="s">
        <v>5</v>
      </c>
      <c r="M94" s="291"/>
    </row>
    <row r="95" spans="1:13" s="38" customFormat="1" ht="24.75" customHeight="1">
      <c r="A95" s="302"/>
      <c r="B95" s="313"/>
      <c r="C95" s="314"/>
      <c r="D95" s="3">
        <v>2020</v>
      </c>
      <c r="E95" s="21">
        <f>F95+G95+J95+K95</f>
        <v>101.781</v>
      </c>
      <c r="F95" s="8"/>
      <c r="G95" s="21">
        <f>H95+I95</f>
        <v>0</v>
      </c>
      <c r="H95" s="9"/>
      <c r="I95" s="8">
        <v>0</v>
      </c>
      <c r="J95" s="8">
        <f>60+1.781+40</f>
        <v>101.781</v>
      </c>
      <c r="K95" s="9"/>
      <c r="L95" s="222" t="s">
        <v>5</v>
      </c>
      <c r="M95" s="291"/>
    </row>
    <row r="96" spans="1:13" s="38" customFormat="1" ht="24.75" customHeight="1">
      <c r="A96" s="302"/>
      <c r="B96" s="313"/>
      <c r="C96" s="314"/>
      <c r="D96" s="3">
        <v>2021</v>
      </c>
      <c r="E96" s="21">
        <f>F96+G96+J96+K96</f>
        <v>60</v>
      </c>
      <c r="F96" s="8"/>
      <c r="G96" s="21">
        <f>H96+I96</f>
        <v>0</v>
      </c>
      <c r="H96" s="9"/>
      <c r="I96" s="8">
        <v>0</v>
      </c>
      <c r="J96" s="8">
        <v>60</v>
      </c>
      <c r="K96" s="9"/>
      <c r="L96" s="222"/>
      <c r="M96" s="291"/>
    </row>
    <row r="97" spans="1:13" s="38" customFormat="1" ht="24.75" customHeight="1">
      <c r="A97" s="302"/>
      <c r="B97" s="313"/>
      <c r="C97" s="314"/>
      <c r="D97" s="3">
        <v>2022</v>
      </c>
      <c r="E97" s="21">
        <f t="shared" si="24"/>
        <v>0</v>
      </c>
      <c r="F97" s="8"/>
      <c r="G97" s="21">
        <f t="shared" si="25"/>
        <v>0</v>
      </c>
      <c r="H97" s="9"/>
      <c r="I97" s="8">
        <v>0</v>
      </c>
      <c r="J97" s="8">
        <v>0</v>
      </c>
      <c r="K97" s="9"/>
      <c r="L97" s="222" t="s">
        <v>5</v>
      </c>
      <c r="M97" s="291"/>
    </row>
    <row r="98" spans="1:13" s="38" customFormat="1" ht="24.75" customHeight="1">
      <c r="A98" s="297"/>
      <c r="B98" s="300"/>
      <c r="C98" s="301"/>
      <c r="D98" s="3">
        <v>2023</v>
      </c>
      <c r="E98" s="21">
        <f t="shared" si="24"/>
        <v>0</v>
      </c>
      <c r="F98" s="8"/>
      <c r="G98" s="21">
        <f t="shared" si="25"/>
        <v>0</v>
      </c>
      <c r="H98" s="9"/>
      <c r="I98" s="8">
        <v>0</v>
      </c>
      <c r="J98" s="8">
        <v>0</v>
      </c>
      <c r="K98" s="168"/>
      <c r="L98" s="222"/>
      <c r="M98" s="12"/>
    </row>
    <row r="99" spans="1:13" s="38" customFormat="1" ht="24.75" customHeight="1">
      <c r="A99" s="296" t="s">
        <v>74</v>
      </c>
      <c r="B99" s="298" t="s">
        <v>75</v>
      </c>
      <c r="C99" s="299"/>
      <c r="D99" s="250">
        <v>2017</v>
      </c>
      <c r="E99" s="573">
        <f>F99+G99+J99+K99</f>
        <v>27.52</v>
      </c>
      <c r="F99" s="575"/>
      <c r="G99" s="581">
        <f>H99+I99</f>
        <v>0</v>
      </c>
      <c r="H99" s="573"/>
      <c r="I99" s="575">
        <v>0</v>
      </c>
      <c r="J99" s="575">
        <v>27.52</v>
      </c>
      <c r="K99" s="583"/>
      <c r="L99" s="327" t="s">
        <v>4</v>
      </c>
      <c r="M99" s="291" t="s">
        <v>49</v>
      </c>
    </row>
    <row r="100" spans="1:13" s="38" customFormat="1" ht="4.5" customHeight="1">
      <c r="A100" s="302"/>
      <c r="B100" s="313"/>
      <c r="C100" s="314"/>
      <c r="D100" s="250"/>
      <c r="E100" s="573"/>
      <c r="F100" s="575"/>
      <c r="G100" s="582"/>
      <c r="H100" s="573"/>
      <c r="I100" s="575"/>
      <c r="J100" s="575"/>
      <c r="K100" s="584"/>
      <c r="L100" s="327"/>
      <c r="M100" s="291"/>
    </row>
    <row r="101" spans="1:13" s="38" customFormat="1" ht="24.75" customHeight="1">
      <c r="A101" s="302"/>
      <c r="B101" s="313"/>
      <c r="C101" s="314"/>
      <c r="D101" s="3">
        <v>2018</v>
      </c>
      <c r="E101" s="21">
        <f aca="true" t="shared" si="26" ref="E101:E109">F101+G101+J101+K101</f>
        <v>28.369999999999997</v>
      </c>
      <c r="F101" s="8"/>
      <c r="G101" s="8">
        <f aca="true" t="shared" si="27" ref="G101:G137">H101+I101</f>
        <v>0</v>
      </c>
      <c r="H101" s="9"/>
      <c r="I101" s="8">
        <v>0</v>
      </c>
      <c r="J101" s="8">
        <f>70-41.63</f>
        <v>28.369999999999997</v>
      </c>
      <c r="K101" s="9"/>
      <c r="L101" s="222" t="s">
        <v>4</v>
      </c>
      <c r="M101" s="291"/>
    </row>
    <row r="102" spans="1:13" s="38" customFormat="1" ht="24.75" customHeight="1">
      <c r="A102" s="302"/>
      <c r="B102" s="313"/>
      <c r="C102" s="314"/>
      <c r="D102" s="3">
        <v>2019</v>
      </c>
      <c r="E102" s="21">
        <f t="shared" si="26"/>
        <v>28.37</v>
      </c>
      <c r="F102" s="8"/>
      <c r="G102" s="8">
        <f t="shared" si="27"/>
        <v>0</v>
      </c>
      <c r="H102" s="9"/>
      <c r="I102" s="8">
        <v>0</v>
      </c>
      <c r="J102" s="8">
        <v>28.37</v>
      </c>
      <c r="K102" s="9"/>
      <c r="L102" s="222" t="s">
        <v>4</v>
      </c>
      <c r="M102" s="291"/>
    </row>
    <row r="103" spans="1:13" s="38" customFormat="1" ht="24.75" customHeight="1">
      <c r="A103" s="302"/>
      <c r="B103" s="313"/>
      <c r="C103" s="314"/>
      <c r="D103" s="3">
        <v>2020</v>
      </c>
      <c r="E103" s="21">
        <f t="shared" si="26"/>
        <v>2.0150000000000006</v>
      </c>
      <c r="F103" s="8"/>
      <c r="G103" s="8">
        <f t="shared" si="27"/>
        <v>0</v>
      </c>
      <c r="H103" s="9"/>
      <c r="I103" s="8">
        <v>0</v>
      </c>
      <c r="J103" s="8">
        <f>28.37-26.355</f>
        <v>2.0150000000000006</v>
      </c>
      <c r="K103" s="9"/>
      <c r="L103" s="222" t="s">
        <v>4</v>
      </c>
      <c r="M103" s="291"/>
    </row>
    <row r="104" spans="1:13" s="38" customFormat="1" ht="24.75" customHeight="1">
      <c r="A104" s="302"/>
      <c r="B104" s="313"/>
      <c r="C104" s="314"/>
      <c r="D104" s="3">
        <v>2021</v>
      </c>
      <c r="E104" s="21">
        <f>F104+G104+J104+K104</f>
        <v>28.37</v>
      </c>
      <c r="F104" s="8"/>
      <c r="G104" s="8">
        <f>H104+I104</f>
        <v>0</v>
      </c>
      <c r="H104" s="9"/>
      <c r="I104" s="8">
        <v>0</v>
      </c>
      <c r="J104" s="8">
        <v>28.37</v>
      </c>
      <c r="K104" s="9"/>
      <c r="L104" s="222" t="s">
        <v>4</v>
      </c>
      <c r="M104" s="291"/>
    </row>
    <row r="105" spans="1:13" s="38" customFormat="1" ht="24.75" customHeight="1">
      <c r="A105" s="302"/>
      <c r="B105" s="313"/>
      <c r="C105" s="314"/>
      <c r="D105" s="3">
        <v>2022</v>
      </c>
      <c r="E105" s="21">
        <f t="shared" si="26"/>
        <v>0</v>
      </c>
      <c r="F105" s="8"/>
      <c r="G105" s="8">
        <f t="shared" si="27"/>
        <v>0</v>
      </c>
      <c r="H105" s="9"/>
      <c r="I105" s="8">
        <v>0</v>
      </c>
      <c r="J105" s="8">
        <v>0</v>
      </c>
      <c r="K105" s="9"/>
      <c r="L105" s="222" t="s">
        <v>4</v>
      </c>
      <c r="M105" s="291"/>
    </row>
    <row r="106" spans="1:13" s="38" customFormat="1" ht="24.75" customHeight="1">
      <c r="A106" s="297"/>
      <c r="B106" s="300"/>
      <c r="C106" s="301"/>
      <c r="D106" s="3">
        <v>2023</v>
      </c>
      <c r="E106" s="21">
        <f t="shared" si="26"/>
        <v>0</v>
      </c>
      <c r="F106" s="8"/>
      <c r="G106" s="8">
        <f t="shared" si="27"/>
        <v>0</v>
      </c>
      <c r="H106" s="9"/>
      <c r="I106" s="8">
        <v>0</v>
      </c>
      <c r="J106" s="8">
        <v>0</v>
      </c>
      <c r="K106" s="9"/>
      <c r="L106" s="222"/>
      <c r="M106" s="141"/>
    </row>
    <row r="107" spans="1:13" s="38" customFormat="1" ht="24.75" customHeight="1">
      <c r="A107" s="296" t="s">
        <v>76</v>
      </c>
      <c r="B107" s="444" t="s">
        <v>164</v>
      </c>
      <c r="C107" s="445"/>
      <c r="D107" s="3">
        <v>2017</v>
      </c>
      <c r="E107" s="21">
        <f t="shared" si="26"/>
        <v>50</v>
      </c>
      <c r="F107" s="8"/>
      <c r="G107" s="8">
        <f t="shared" si="27"/>
        <v>50</v>
      </c>
      <c r="H107" s="585"/>
      <c r="I107" s="586">
        <v>50</v>
      </c>
      <c r="J107" s="8">
        <v>0</v>
      </c>
      <c r="K107" s="587"/>
      <c r="L107" s="222" t="s">
        <v>31</v>
      </c>
      <c r="M107" s="328" t="s">
        <v>48</v>
      </c>
    </row>
    <row r="108" spans="1:13" s="38" customFormat="1" ht="24.75" customHeight="1">
      <c r="A108" s="302"/>
      <c r="B108" s="413"/>
      <c r="C108" s="446"/>
      <c r="D108" s="3">
        <v>2018</v>
      </c>
      <c r="E108" s="21">
        <f t="shared" si="26"/>
        <v>0</v>
      </c>
      <c r="F108" s="8"/>
      <c r="G108" s="8">
        <f t="shared" si="27"/>
        <v>0</v>
      </c>
      <c r="H108" s="8"/>
      <c r="I108" s="8">
        <v>0</v>
      </c>
      <c r="J108" s="8">
        <v>0</v>
      </c>
      <c r="K108" s="587"/>
      <c r="L108" s="222"/>
      <c r="M108" s="329"/>
    </row>
    <row r="109" spans="1:13" s="38" customFormat="1" ht="24.75" customHeight="1">
      <c r="A109" s="302"/>
      <c r="B109" s="413"/>
      <c r="C109" s="446"/>
      <c r="D109" s="3">
        <v>2019</v>
      </c>
      <c r="E109" s="21">
        <f t="shared" si="26"/>
        <v>50</v>
      </c>
      <c r="F109" s="8"/>
      <c r="G109" s="8">
        <f t="shared" si="27"/>
        <v>50</v>
      </c>
      <c r="H109" s="8"/>
      <c r="I109" s="8">
        <v>50</v>
      </c>
      <c r="J109" s="8">
        <v>0</v>
      </c>
      <c r="K109" s="587"/>
      <c r="L109" s="222" t="s">
        <v>17</v>
      </c>
      <c r="M109" s="329"/>
    </row>
    <row r="110" spans="1:13" s="38" customFormat="1" ht="24.75" customHeight="1">
      <c r="A110" s="302"/>
      <c r="B110" s="413"/>
      <c r="C110" s="446"/>
      <c r="D110" s="3">
        <v>2020</v>
      </c>
      <c r="E110" s="21">
        <f>F110+G110+J110+K110</f>
        <v>0</v>
      </c>
      <c r="F110" s="8"/>
      <c r="G110" s="8">
        <f>H110+I110</f>
        <v>0</v>
      </c>
      <c r="H110" s="8"/>
      <c r="I110" s="8">
        <v>0</v>
      </c>
      <c r="J110" s="8">
        <v>0</v>
      </c>
      <c r="K110" s="587"/>
      <c r="L110" s="222"/>
      <c r="M110" s="329"/>
    </row>
    <row r="111" spans="1:13" s="38" customFormat="1" ht="24.75" customHeight="1">
      <c r="A111" s="302"/>
      <c r="B111" s="413"/>
      <c r="C111" s="446"/>
      <c r="D111" s="3">
        <v>2021</v>
      </c>
      <c r="E111" s="21">
        <f>F111+G111+J111+K111</f>
        <v>0</v>
      </c>
      <c r="F111" s="8"/>
      <c r="G111" s="8">
        <f>H111+I111</f>
        <v>0</v>
      </c>
      <c r="H111" s="8"/>
      <c r="I111" s="8">
        <v>0</v>
      </c>
      <c r="J111" s="8">
        <v>0</v>
      </c>
      <c r="K111" s="587"/>
      <c r="L111" s="222"/>
      <c r="M111" s="329"/>
    </row>
    <row r="112" spans="1:13" s="38" customFormat="1" ht="24.75" customHeight="1" thickBot="1">
      <c r="A112" s="265" t="s">
        <v>77</v>
      </c>
      <c r="B112" s="298" t="s">
        <v>78</v>
      </c>
      <c r="C112" s="441"/>
      <c r="D112" s="333">
        <v>2017</v>
      </c>
      <c r="E112" s="588">
        <f>F112+G112+J112+K112</f>
        <v>627.047</v>
      </c>
      <c r="F112" s="589"/>
      <c r="G112" s="590">
        <f t="shared" si="27"/>
        <v>0</v>
      </c>
      <c r="H112" s="591">
        <f>H113+H114+H115+H116+H117+H118</f>
        <v>0</v>
      </c>
      <c r="I112" s="590">
        <f>I113+I114+I115+I116+I117+I118</f>
        <v>0</v>
      </c>
      <c r="J112" s="590">
        <f>J113+J114+J115+J116+J117+J118</f>
        <v>627.047</v>
      </c>
      <c r="K112" s="590">
        <f>K113+K114+K115+K116+K117+K118</f>
        <v>0</v>
      </c>
      <c r="L112" s="232"/>
      <c r="M112" s="336" t="s">
        <v>63</v>
      </c>
    </row>
    <row r="113" spans="1:13" s="38" customFormat="1" ht="27" customHeight="1">
      <c r="A113" s="266"/>
      <c r="B113" s="313"/>
      <c r="C113" s="442"/>
      <c r="D113" s="331"/>
      <c r="E113" s="592"/>
      <c r="F113" s="533"/>
      <c r="G113" s="533">
        <f t="shared" si="27"/>
        <v>0</v>
      </c>
      <c r="H113" s="533"/>
      <c r="I113" s="522"/>
      <c r="J113" s="522">
        <f>50+13.94</f>
        <v>63.94</v>
      </c>
      <c r="K113" s="593"/>
      <c r="L113" s="227" t="s">
        <v>167</v>
      </c>
      <c r="M113" s="336"/>
    </row>
    <row r="114" spans="1:13" s="38" customFormat="1" ht="24.75" customHeight="1">
      <c r="A114" s="266"/>
      <c r="B114" s="313"/>
      <c r="C114" s="442"/>
      <c r="D114" s="331"/>
      <c r="E114" s="592"/>
      <c r="F114" s="21"/>
      <c r="G114" s="21">
        <f t="shared" si="27"/>
        <v>0</v>
      </c>
      <c r="H114" s="9"/>
      <c r="I114" s="8"/>
      <c r="J114" s="8">
        <v>113.23</v>
      </c>
      <c r="K114" s="9"/>
      <c r="L114" s="224" t="s">
        <v>15</v>
      </c>
      <c r="M114" s="336"/>
    </row>
    <row r="115" spans="1:13" s="38" customFormat="1" ht="24.75" customHeight="1">
      <c r="A115" s="266"/>
      <c r="B115" s="313"/>
      <c r="C115" s="442"/>
      <c r="D115" s="331"/>
      <c r="E115" s="592"/>
      <c r="F115" s="21"/>
      <c r="G115" s="21">
        <f t="shared" si="27"/>
        <v>0</v>
      </c>
      <c r="H115" s="9"/>
      <c r="I115" s="8"/>
      <c r="J115" s="8">
        <v>205.427</v>
      </c>
      <c r="K115" s="9"/>
      <c r="L115" s="224" t="s">
        <v>19</v>
      </c>
      <c r="M115" s="336"/>
    </row>
    <row r="116" spans="1:13" s="38" customFormat="1" ht="24.75" customHeight="1">
      <c r="A116" s="266"/>
      <c r="B116" s="313"/>
      <c r="C116" s="442"/>
      <c r="D116" s="331"/>
      <c r="E116" s="592"/>
      <c r="F116" s="21"/>
      <c r="G116" s="21">
        <f t="shared" si="27"/>
        <v>0</v>
      </c>
      <c r="H116" s="9"/>
      <c r="I116" s="8"/>
      <c r="J116" s="8">
        <v>13.23</v>
      </c>
      <c r="K116" s="9"/>
      <c r="L116" s="224" t="s">
        <v>12</v>
      </c>
      <c r="M116" s="336"/>
    </row>
    <row r="117" spans="1:13" s="38" customFormat="1" ht="24.75" customHeight="1">
      <c r="A117" s="266"/>
      <c r="B117" s="313"/>
      <c r="C117" s="442"/>
      <c r="D117" s="331"/>
      <c r="E117" s="592"/>
      <c r="F117" s="21"/>
      <c r="G117" s="21">
        <f t="shared" si="27"/>
        <v>0</v>
      </c>
      <c r="H117" s="9"/>
      <c r="I117" s="8"/>
      <c r="J117" s="8">
        <v>161.09</v>
      </c>
      <c r="K117" s="9"/>
      <c r="L117" s="224" t="s">
        <v>20</v>
      </c>
      <c r="M117" s="336"/>
    </row>
    <row r="118" spans="1:13" s="38" customFormat="1" ht="24.75" customHeight="1" thickBot="1">
      <c r="A118" s="266"/>
      <c r="B118" s="313"/>
      <c r="C118" s="442"/>
      <c r="D118" s="332"/>
      <c r="E118" s="594"/>
      <c r="F118" s="187"/>
      <c r="G118" s="187">
        <f t="shared" si="27"/>
        <v>0</v>
      </c>
      <c r="H118" s="595"/>
      <c r="I118" s="188"/>
      <c r="J118" s="188">
        <f>15.18+18+36.45+0.5</f>
        <v>70.13</v>
      </c>
      <c r="K118" s="595"/>
      <c r="L118" s="225" t="s">
        <v>21</v>
      </c>
      <c r="M118" s="336"/>
    </row>
    <row r="119" spans="1:13" s="38" customFormat="1" ht="24.75" customHeight="1" thickBot="1">
      <c r="A119" s="266"/>
      <c r="B119" s="313"/>
      <c r="C119" s="442"/>
      <c r="D119" s="330">
        <v>2018</v>
      </c>
      <c r="E119" s="596">
        <f>F119+G119+J119+K119</f>
        <v>2781.9159799999998</v>
      </c>
      <c r="F119" s="166"/>
      <c r="G119" s="161">
        <f t="shared" si="27"/>
        <v>0</v>
      </c>
      <c r="H119" s="161">
        <f>H120+H121+H122+H123+H124+H125+H126</f>
        <v>0</v>
      </c>
      <c r="I119" s="161">
        <f>I120+I121+I122+I123+I124+I125+I126</f>
        <v>0</v>
      </c>
      <c r="J119" s="161">
        <f>J120+J121+J122+J123+J124+J125+J126</f>
        <v>2781.9159799999998</v>
      </c>
      <c r="K119" s="161">
        <f>K120+K121+K122+K123+K124+K125+K126</f>
        <v>0</v>
      </c>
      <c r="L119" s="230"/>
      <c r="M119" s="336"/>
    </row>
    <row r="120" spans="1:13" s="38" customFormat="1" ht="26.25" customHeight="1">
      <c r="A120" s="266"/>
      <c r="B120" s="313"/>
      <c r="C120" s="442"/>
      <c r="D120" s="331"/>
      <c r="E120" s="592"/>
      <c r="F120" s="158"/>
      <c r="G120" s="164">
        <f t="shared" si="27"/>
        <v>0</v>
      </c>
      <c r="H120" s="158"/>
      <c r="I120" s="164"/>
      <c r="J120" s="164">
        <v>0</v>
      </c>
      <c r="K120" s="597"/>
      <c r="L120" s="227" t="s">
        <v>167</v>
      </c>
      <c r="M120" s="336"/>
    </row>
    <row r="121" spans="1:13" s="38" customFormat="1" ht="24.75" customHeight="1">
      <c r="A121" s="266"/>
      <c r="B121" s="313"/>
      <c r="C121" s="442"/>
      <c r="D121" s="331"/>
      <c r="E121" s="592"/>
      <c r="F121" s="22"/>
      <c r="G121" s="10">
        <f t="shared" si="27"/>
        <v>0</v>
      </c>
      <c r="H121" s="22"/>
      <c r="I121" s="10"/>
      <c r="J121" s="10">
        <f>12.64+1186-181.18-36.69771</f>
        <v>980.76229</v>
      </c>
      <c r="K121" s="598"/>
      <c r="L121" s="224" t="s">
        <v>15</v>
      </c>
      <c r="M121" s="336"/>
    </row>
    <row r="122" spans="1:13" s="38" customFormat="1" ht="24.75" customHeight="1">
      <c r="A122" s="266"/>
      <c r="B122" s="313"/>
      <c r="C122" s="442"/>
      <c r="D122" s="331"/>
      <c r="E122" s="592"/>
      <c r="F122" s="22"/>
      <c r="G122" s="10">
        <f t="shared" si="27"/>
        <v>0</v>
      </c>
      <c r="H122" s="22"/>
      <c r="I122" s="10"/>
      <c r="J122" s="10">
        <f>12.64+445+788.79-277.21131</f>
        <v>969.2186899999998</v>
      </c>
      <c r="K122" s="598"/>
      <c r="L122" s="224" t="s">
        <v>19</v>
      </c>
      <c r="M122" s="336"/>
    </row>
    <row r="123" spans="1:13" s="38" customFormat="1" ht="24.75" customHeight="1">
      <c r="A123" s="266"/>
      <c r="B123" s="313"/>
      <c r="C123" s="442"/>
      <c r="D123" s="331"/>
      <c r="E123" s="592"/>
      <c r="F123" s="22"/>
      <c r="G123" s="10">
        <f t="shared" si="27"/>
        <v>0</v>
      </c>
      <c r="H123" s="22"/>
      <c r="I123" s="10"/>
      <c r="J123" s="10">
        <f>12.64+437.6-55.429</f>
        <v>394.81100000000004</v>
      </c>
      <c r="K123" s="598"/>
      <c r="L123" s="224" t="s">
        <v>12</v>
      </c>
      <c r="M123" s="336"/>
    </row>
    <row r="124" spans="1:13" s="38" customFormat="1" ht="24.75" customHeight="1">
      <c r="A124" s="266"/>
      <c r="B124" s="313"/>
      <c r="C124" s="442"/>
      <c r="D124" s="331"/>
      <c r="E124" s="592"/>
      <c r="F124" s="22"/>
      <c r="G124" s="10">
        <f t="shared" si="27"/>
        <v>0</v>
      </c>
      <c r="H124" s="22"/>
      <c r="I124" s="10"/>
      <c r="J124" s="10">
        <f>30.36+107+120+26.184</f>
        <v>283.54400000000004</v>
      </c>
      <c r="K124" s="598"/>
      <c r="L124" s="224" t="s">
        <v>20</v>
      </c>
      <c r="M124" s="336"/>
    </row>
    <row r="125" spans="1:13" s="38" customFormat="1" ht="24.75" customHeight="1">
      <c r="A125" s="266"/>
      <c r="B125" s="313"/>
      <c r="C125" s="442"/>
      <c r="D125" s="331"/>
      <c r="E125" s="592"/>
      <c r="F125" s="22"/>
      <c r="G125" s="10">
        <f t="shared" si="27"/>
        <v>0</v>
      </c>
      <c r="H125" s="22"/>
      <c r="I125" s="10"/>
      <c r="J125" s="10">
        <f>15.18+165-26.6</f>
        <v>153.58</v>
      </c>
      <c r="K125" s="598"/>
      <c r="L125" s="224" t="s">
        <v>21</v>
      </c>
      <c r="M125" s="336"/>
    </row>
    <row r="126" spans="1:13" s="38" customFormat="1" ht="24.75" customHeight="1" thickBot="1">
      <c r="A126" s="266"/>
      <c r="B126" s="313"/>
      <c r="C126" s="442"/>
      <c r="D126" s="332"/>
      <c r="E126" s="594"/>
      <c r="F126" s="526"/>
      <c r="G126" s="561">
        <f t="shared" si="27"/>
        <v>0</v>
      </c>
      <c r="H126" s="526"/>
      <c r="I126" s="561"/>
      <c r="J126" s="561">
        <v>0</v>
      </c>
      <c r="K126" s="599"/>
      <c r="L126" s="225" t="s">
        <v>44</v>
      </c>
      <c r="M126" s="336"/>
    </row>
    <row r="127" spans="1:13" s="38" customFormat="1" ht="24.75" customHeight="1" thickBot="1">
      <c r="A127" s="266"/>
      <c r="B127" s="313"/>
      <c r="C127" s="442"/>
      <c r="D127" s="330">
        <v>2019</v>
      </c>
      <c r="E127" s="596">
        <f>F127+G127+J127+K127</f>
        <v>387.68000000000006</v>
      </c>
      <c r="F127" s="166">
        <f aca="true" t="shared" si="28" ref="F127:K127">SUM(F128:F134)</f>
        <v>0</v>
      </c>
      <c r="G127" s="161">
        <f t="shared" si="28"/>
        <v>0</v>
      </c>
      <c r="H127" s="161">
        <f t="shared" si="28"/>
        <v>0</v>
      </c>
      <c r="I127" s="161">
        <f t="shared" si="28"/>
        <v>0</v>
      </c>
      <c r="J127" s="161">
        <f t="shared" si="28"/>
        <v>387.68000000000006</v>
      </c>
      <c r="K127" s="161">
        <f t="shared" si="28"/>
        <v>0</v>
      </c>
      <c r="L127" s="230"/>
      <c r="M127" s="336"/>
    </row>
    <row r="128" spans="1:13" s="38" customFormat="1" ht="24.75" customHeight="1">
      <c r="A128" s="266"/>
      <c r="B128" s="313"/>
      <c r="C128" s="442"/>
      <c r="D128" s="331"/>
      <c r="E128" s="592"/>
      <c r="F128" s="158"/>
      <c r="G128" s="164">
        <f aca="true" t="shared" si="29" ref="G128:G134">H128+I128</f>
        <v>0</v>
      </c>
      <c r="H128" s="158"/>
      <c r="I128" s="164"/>
      <c r="J128" s="164">
        <v>0</v>
      </c>
      <c r="K128" s="597"/>
      <c r="L128" s="227" t="s">
        <v>167</v>
      </c>
      <c r="M128" s="336"/>
    </row>
    <row r="129" spans="1:13" s="38" customFormat="1" ht="24.75" customHeight="1">
      <c r="A129" s="266"/>
      <c r="B129" s="313"/>
      <c r="C129" s="442"/>
      <c r="D129" s="331"/>
      <c r="E129" s="592"/>
      <c r="F129" s="22"/>
      <c r="G129" s="10">
        <f t="shared" si="29"/>
        <v>0</v>
      </c>
      <c r="H129" s="22"/>
      <c r="I129" s="10"/>
      <c r="J129" s="10">
        <v>12.64</v>
      </c>
      <c r="K129" s="598"/>
      <c r="L129" s="224" t="s">
        <v>15</v>
      </c>
      <c r="M129" s="336"/>
    </row>
    <row r="130" spans="1:13" s="38" customFormat="1" ht="24.75" customHeight="1">
      <c r="A130" s="266"/>
      <c r="B130" s="313"/>
      <c r="C130" s="442"/>
      <c r="D130" s="331"/>
      <c r="E130" s="592"/>
      <c r="F130" s="22"/>
      <c r="G130" s="10">
        <f t="shared" si="29"/>
        <v>0</v>
      </c>
      <c r="H130" s="22"/>
      <c r="I130" s="10"/>
      <c r="J130" s="10">
        <v>12.64</v>
      </c>
      <c r="K130" s="598"/>
      <c r="L130" s="224" t="s">
        <v>19</v>
      </c>
      <c r="M130" s="336"/>
    </row>
    <row r="131" spans="1:13" s="38" customFormat="1" ht="24.75" customHeight="1">
      <c r="A131" s="266"/>
      <c r="B131" s="313"/>
      <c r="C131" s="442"/>
      <c r="D131" s="331"/>
      <c r="E131" s="592"/>
      <c r="F131" s="22"/>
      <c r="G131" s="10">
        <f t="shared" si="29"/>
        <v>0</v>
      </c>
      <c r="H131" s="22"/>
      <c r="I131" s="10"/>
      <c r="J131" s="10">
        <f>12.64+100</f>
        <v>112.64</v>
      </c>
      <c r="K131" s="598"/>
      <c r="L131" s="224" t="s">
        <v>12</v>
      </c>
      <c r="M131" s="336"/>
    </row>
    <row r="132" spans="1:13" s="38" customFormat="1" ht="24.75" customHeight="1">
      <c r="A132" s="266"/>
      <c r="B132" s="313"/>
      <c r="C132" s="442"/>
      <c r="D132" s="331"/>
      <c r="E132" s="592"/>
      <c r="F132" s="22"/>
      <c r="G132" s="10">
        <f t="shared" si="29"/>
        <v>0</v>
      </c>
      <c r="H132" s="22"/>
      <c r="I132" s="10"/>
      <c r="J132" s="10">
        <v>0</v>
      </c>
      <c r="K132" s="598"/>
      <c r="L132" s="224" t="s">
        <v>171</v>
      </c>
      <c r="M132" s="336"/>
    </row>
    <row r="133" spans="1:13" s="38" customFormat="1" ht="24.75" customHeight="1">
      <c r="A133" s="266"/>
      <c r="B133" s="313"/>
      <c r="C133" s="442"/>
      <c r="D133" s="331"/>
      <c r="E133" s="592"/>
      <c r="F133" s="22"/>
      <c r="G133" s="10">
        <f t="shared" si="29"/>
        <v>0</v>
      </c>
      <c r="H133" s="22"/>
      <c r="I133" s="10"/>
      <c r="J133" s="10">
        <f>30.36+100</f>
        <v>130.36</v>
      </c>
      <c r="K133" s="598"/>
      <c r="L133" s="224" t="s">
        <v>20</v>
      </c>
      <c r="M133" s="336"/>
    </row>
    <row r="134" spans="1:13" s="38" customFormat="1" ht="24.75" customHeight="1" thickBot="1">
      <c r="A134" s="266"/>
      <c r="B134" s="313"/>
      <c r="C134" s="442"/>
      <c r="D134" s="332"/>
      <c r="E134" s="594"/>
      <c r="F134" s="526"/>
      <c r="G134" s="561">
        <f t="shared" si="29"/>
        <v>0</v>
      </c>
      <c r="H134" s="526"/>
      <c r="I134" s="561"/>
      <c r="J134" s="561">
        <f>15.18+16.731+100-12.511</f>
        <v>119.4</v>
      </c>
      <c r="K134" s="599"/>
      <c r="L134" s="225" t="s">
        <v>21</v>
      </c>
      <c r="M134" s="336"/>
    </row>
    <row r="135" spans="1:13" s="38" customFormat="1" ht="26.25" customHeight="1" thickBot="1">
      <c r="A135" s="266"/>
      <c r="B135" s="313"/>
      <c r="C135" s="442"/>
      <c r="D135" s="330">
        <v>2020</v>
      </c>
      <c r="E135" s="596">
        <f>F135+G135+J135+K135</f>
        <v>153.72</v>
      </c>
      <c r="F135" s="166">
        <f aca="true" t="shared" si="30" ref="F135:K135">SUM(F137:F142)</f>
        <v>0</v>
      </c>
      <c r="G135" s="161">
        <f t="shared" si="30"/>
        <v>0</v>
      </c>
      <c r="H135" s="161">
        <f t="shared" si="30"/>
        <v>0</v>
      </c>
      <c r="I135" s="161">
        <f t="shared" si="30"/>
        <v>0</v>
      </c>
      <c r="J135" s="161">
        <f t="shared" si="30"/>
        <v>153.72</v>
      </c>
      <c r="K135" s="162">
        <f t="shared" si="30"/>
        <v>0</v>
      </c>
      <c r="L135" s="226"/>
      <c r="M135" s="336"/>
    </row>
    <row r="136" spans="1:13" s="38" customFormat="1" ht="21.75" customHeight="1">
      <c r="A136" s="266"/>
      <c r="B136" s="313"/>
      <c r="C136" s="442"/>
      <c r="D136" s="331"/>
      <c r="E136" s="592"/>
      <c r="F136" s="158"/>
      <c r="G136" s="164">
        <f t="shared" si="27"/>
        <v>0</v>
      </c>
      <c r="H136" s="158"/>
      <c r="I136" s="164"/>
      <c r="J136" s="164">
        <v>0</v>
      </c>
      <c r="K136" s="597"/>
      <c r="L136" s="224" t="s">
        <v>167</v>
      </c>
      <c r="M136" s="336"/>
    </row>
    <row r="137" spans="1:13" s="38" customFormat="1" ht="24.75" customHeight="1">
      <c r="A137" s="266"/>
      <c r="B137" s="313"/>
      <c r="C137" s="442"/>
      <c r="D137" s="331"/>
      <c r="E137" s="592"/>
      <c r="F137" s="22"/>
      <c r="G137" s="10">
        <f t="shared" si="27"/>
        <v>0</v>
      </c>
      <c r="H137" s="22"/>
      <c r="I137" s="10"/>
      <c r="J137" s="10">
        <v>29.64</v>
      </c>
      <c r="K137" s="598"/>
      <c r="L137" s="224" t="s">
        <v>277</v>
      </c>
      <c r="M137" s="336"/>
    </row>
    <row r="138" spans="1:13" s="38" customFormat="1" ht="24.75" customHeight="1">
      <c r="A138" s="266"/>
      <c r="B138" s="313"/>
      <c r="C138" s="442"/>
      <c r="D138" s="331"/>
      <c r="E138" s="592"/>
      <c r="F138" s="22"/>
      <c r="G138" s="10">
        <f>H138+I138</f>
        <v>0</v>
      </c>
      <c r="H138" s="22"/>
      <c r="I138" s="10"/>
      <c r="J138" s="10">
        <v>29.64</v>
      </c>
      <c r="K138" s="598"/>
      <c r="L138" s="224" t="s">
        <v>276</v>
      </c>
      <c r="M138" s="336"/>
    </row>
    <row r="139" spans="1:13" s="38" customFormat="1" ht="24.75" customHeight="1">
      <c r="A139" s="266"/>
      <c r="B139" s="313"/>
      <c r="C139" s="442"/>
      <c r="D139" s="331"/>
      <c r="E139" s="592"/>
      <c r="F139" s="22"/>
      <c r="G139" s="10">
        <f>H139+I139</f>
        <v>0</v>
      </c>
      <c r="H139" s="22"/>
      <c r="I139" s="10"/>
      <c r="J139" s="10">
        <v>29.64</v>
      </c>
      <c r="K139" s="598"/>
      <c r="L139" s="224" t="s">
        <v>278</v>
      </c>
      <c r="M139" s="336"/>
    </row>
    <row r="140" spans="1:13" s="38" customFormat="1" ht="24.75" customHeight="1">
      <c r="A140" s="266"/>
      <c r="B140" s="313"/>
      <c r="C140" s="442"/>
      <c r="D140" s="331"/>
      <c r="E140" s="592"/>
      <c r="F140" s="22"/>
      <c r="G140" s="10">
        <f>H140+I140</f>
        <v>0</v>
      </c>
      <c r="H140" s="22"/>
      <c r="I140" s="10"/>
      <c r="J140" s="10">
        <v>0</v>
      </c>
      <c r="K140" s="598"/>
      <c r="L140" s="224" t="s">
        <v>279</v>
      </c>
      <c r="M140" s="336"/>
    </row>
    <row r="141" spans="1:13" s="38" customFormat="1" ht="24.75" customHeight="1">
      <c r="A141" s="266"/>
      <c r="B141" s="313"/>
      <c r="C141" s="442"/>
      <c r="D141" s="331"/>
      <c r="E141" s="592"/>
      <c r="F141" s="22"/>
      <c r="G141" s="10">
        <f>H141+I141</f>
        <v>0</v>
      </c>
      <c r="H141" s="22"/>
      <c r="I141" s="10"/>
      <c r="J141" s="10">
        <f>33.6-1.2</f>
        <v>32.4</v>
      </c>
      <c r="K141" s="598"/>
      <c r="L141" s="224" t="s">
        <v>280</v>
      </c>
      <c r="M141" s="336"/>
    </row>
    <row r="142" spans="1:13" s="38" customFormat="1" ht="24.75" customHeight="1" thickBot="1">
      <c r="A142" s="266"/>
      <c r="B142" s="313"/>
      <c r="C142" s="442"/>
      <c r="D142" s="332"/>
      <c r="E142" s="594"/>
      <c r="F142" s="526"/>
      <c r="G142" s="561">
        <f>H142+I142</f>
        <v>0</v>
      </c>
      <c r="H142" s="526"/>
      <c r="I142" s="561"/>
      <c r="J142" s="561">
        <f>32.6-0.2</f>
        <v>32.4</v>
      </c>
      <c r="K142" s="599"/>
      <c r="L142" s="225" t="s">
        <v>281</v>
      </c>
      <c r="M142" s="336"/>
    </row>
    <row r="143" spans="1:13" s="38" customFormat="1" ht="24.75" customHeight="1" thickBot="1">
      <c r="A143" s="266"/>
      <c r="B143" s="313"/>
      <c r="C143" s="442"/>
      <c r="D143" s="330">
        <v>2021</v>
      </c>
      <c r="E143" s="596">
        <f>F143+G143+J143+K143</f>
        <v>193.572</v>
      </c>
      <c r="F143" s="161">
        <f>SUM(F144:F150)</f>
        <v>0</v>
      </c>
      <c r="G143" s="161">
        <f>SUM(G144:G150)</f>
        <v>0</v>
      </c>
      <c r="H143" s="161">
        <f>SUM(H144:H150)</f>
        <v>0</v>
      </c>
      <c r="I143" s="161">
        <f>SUM(I144:I150)</f>
        <v>0</v>
      </c>
      <c r="J143" s="161">
        <f>SUM(J144:J150)</f>
        <v>193.572</v>
      </c>
      <c r="K143" s="600"/>
      <c r="L143" s="100"/>
      <c r="M143" s="336"/>
    </row>
    <row r="144" spans="1:13" s="38" customFormat="1" ht="24.75" customHeight="1">
      <c r="A144" s="266"/>
      <c r="B144" s="313"/>
      <c r="C144" s="442"/>
      <c r="D144" s="331"/>
      <c r="E144" s="592"/>
      <c r="F144" s="158"/>
      <c r="G144" s="164"/>
      <c r="H144" s="158"/>
      <c r="I144" s="164"/>
      <c r="J144" s="164">
        <v>0</v>
      </c>
      <c r="K144" s="597"/>
      <c r="L144" s="227" t="s">
        <v>282</v>
      </c>
      <c r="M144" s="336"/>
    </row>
    <row r="145" spans="1:13" s="38" customFormat="1" ht="24.75" customHeight="1">
      <c r="A145" s="266"/>
      <c r="B145" s="313"/>
      <c r="C145" s="442"/>
      <c r="D145" s="331"/>
      <c r="E145" s="592"/>
      <c r="F145" s="22"/>
      <c r="G145" s="10"/>
      <c r="H145" s="22"/>
      <c r="I145" s="10"/>
      <c r="J145" s="10">
        <v>31.404</v>
      </c>
      <c r="K145" s="598"/>
      <c r="L145" s="224" t="s">
        <v>277</v>
      </c>
      <c r="M145" s="336"/>
    </row>
    <row r="146" spans="1:13" s="38" customFormat="1" ht="24.75" customHeight="1">
      <c r="A146" s="266"/>
      <c r="B146" s="313"/>
      <c r="C146" s="442"/>
      <c r="D146" s="331"/>
      <c r="E146" s="592"/>
      <c r="F146" s="22"/>
      <c r="G146" s="10"/>
      <c r="H146" s="22"/>
      <c r="I146" s="10"/>
      <c r="J146" s="10">
        <v>31.404</v>
      </c>
      <c r="K146" s="598"/>
      <c r="L146" s="224" t="s">
        <v>276</v>
      </c>
      <c r="M146" s="336"/>
    </row>
    <row r="147" spans="1:13" s="38" customFormat="1" ht="24.75" customHeight="1">
      <c r="A147" s="266"/>
      <c r="B147" s="313"/>
      <c r="C147" s="442"/>
      <c r="D147" s="331"/>
      <c r="E147" s="592"/>
      <c r="F147" s="22"/>
      <c r="G147" s="10"/>
      <c r="H147" s="22"/>
      <c r="I147" s="10"/>
      <c r="J147" s="10">
        <v>31.404</v>
      </c>
      <c r="K147" s="598"/>
      <c r="L147" s="224" t="s">
        <v>278</v>
      </c>
      <c r="M147" s="336"/>
    </row>
    <row r="148" spans="1:13" s="38" customFormat="1" ht="24.75" customHeight="1">
      <c r="A148" s="266"/>
      <c r="B148" s="313"/>
      <c r="C148" s="442"/>
      <c r="D148" s="331"/>
      <c r="E148" s="592"/>
      <c r="F148" s="10"/>
      <c r="G148" s="10"/>
      <c r="H148" s="22"/>
      <c r="I148" s="10"/>
      <c r="J148" s="10">
        <v>30.48</v>
      </c>
      <c r="K148" s="598"/>
      <c r="L148" s="224" t="s">
        <v>279</v>
      </c>
      <c r="M148" s="336"/>
    </row>
    <row r="149" spans="1:13" s="38" customFormat="1" ht="24.75" customHeight="1">
      <c r="A149" s="266"/>
      <c r="B149" s="313"/>
      <c r="C149" s="442"/>
      <c r="D149" s="331"/>
      <c r="E149" s="592"/>
      <c r="F149" s="22"/>
      <c r="G149" s="10"/>
      <c r="H149" s="22"/>
      <c r="I149" s="10"/>
      <c r="J149" s="10">
        <v>34.44</v>
      </c>
      <c r="K149" s="598"/>
      <c r="L149" s="224" t="s">
        <v>280</v>
      </c>
      <c r="M149" s="336"/>
    </row>
    <row r="150" spans="1:13" s="38" customFormat="1" ht="24.75" customHeight="1" thickBot="1">
      <c r="A150" s="266"/>
      <c r="B150" s="313"/>
      <c r="C150" s="442"/>
      <c r="D150" s="332"/>
      <c r="E150" s="594"/>
      <c r="F150" s="526"/>
      <c r="G150" s="561"/>
      <c r="H150" s="526"/>
      <c r="I150" s="561"/>
      <c r="J150" s="561">
        <v>34.44</v>
      </c>
      <c r="K150" s="599"/>
      <c r="L150" s="225" t="s">
        <v>281</v>
      </c>
      <c r="M150" s="336"/>
    </row>
    <row r="151" spans="1:13" s="38" customFormat="1" ht="24.75" customHeight="1" thickBot="1">
      <c r="A151" s="266"/>
      <c r="B151" s="313"/>
      <c r="C151" s="442"/>
      <c r="D151" s="439">
        <v>2022</v>
      </c>
      <c r="E151" s="601">
        <f>F151+G151+J151+K151</f>
        <v>0</v>
      </c>
      <c r="F151" s="602">
        <f>SUM(F152:F158)</f>
        <v>0</v>
      </c>
      <c r="G151" s="603">
        <f>SUM(G152:G158)</f>
        <v>0</v>
      </c>
      <c r="H151" s="603">
        <f>SUM(H152:H158)</f>
        <v>0</v>
      </c>
      <c r="I151" s="603">
        <f>SUM(I152:I158)</f>
        <v>0</v>
      </c>
      <c r="J151" s="603">
        <f>SUM(J152:J158)</f>
        <v>0</v>
      </c>
      <c r="K151" s="604"/>
      <c r="L151" s="228"/>
      <c r="M151" s="336"/>
    </row>
    <row r="152" spans="1:13" s="38" customFormat="1" ht="24.75" customHeight="1">
      <c r="A152" s="266"/>
      <c r="B152" s="313"/>
      <c r="C152" s="442"/>
      <c r="D152" s="440"/>
      <c r="E152" s="605"/>
      <c r="F152" s="158"/>
      <c r="G152" s="164"/>
      <c r="H152" s="158"/>
      <c r="I152" s="164"/>
      <c r="J152" s="164">
        <v>0</v>
      </c>
      <c r="K152" s="606"/>
      <c r="L152" s="229" t="s">
        <v>282</v>
      </c>
      <c r="M152" s="336"/>
    </row>
    <row r="153" spans="1:13" s="38" customFormat="1" ht="24.75" customHeight="1">
      <c r="A153" s="266"/>
      <c r="B153" s="313"/>
      <c r="C153" s="442"/>
      <c r="D153" s="440"/>
      <c r="E153" s="607"/>
      <c r="F153" s="22"/>
      <c r="G153" s="10"/>
      <c r="H153" s="22"/>
      <c r="I153" s="10"/>
      <c r="J153" s="10">
        <v>0</v>
      </c>
      <c r="K153" s="608"/>
      <c r="L153" s="224" t="s">
        <v>277</v>
      </c>
      <c r="M153" s="336"/>
    </row>
    <row r="154" spans="1:13" s="38" customFormat="1" ht="24.75" customHeight="1">
      <c r="A154" s="266"/>
      <c r="B154" s="313"/>
      <c r="C154" s="442"/>
      <c r="D154" s="440"/>
      <c r="E154" s="607"/>
      <c r="F154" s="22"/>
      <c r="G154" s="10"/>
      <c r="H154" s="22"/>
      <c r="I154" s="10"/>
      <c r="J154" s="10">
        <v>0</v>
      </c>
      <c r="K154" s="608"/>
      <c r="L154" s="224" t="s">
        <v>276</v>
      </c>
      <c r="M154" s="336"/>
    </row>
    <row r="155" spans="1:13" s="38" customFormat="1" ht="24.75" customHeight="1">
      <c r="A155" s="266"/>
      <c r="B155" s="313"/>
      <c r="C155" s="442"/>
      <c r="D155" s="440"/>
      <c r="E155" s="607"/>
      <c r="F155" s="22"/>
      <c r="G155" s="10"/>
      <c r="H155" s="22"/>
      <c r="I155" s="10"/>
      <c r="J155" s="10">
        <v>0</v>
      </c>
      <c r="K155" s="608"/>
      <c r="L155" s="224" t="s">
        <v>278</v>
      </c>
      <c r="M155" s="336"/>
    </row>
    <row r="156" spans="1:13" s="38" customFormat="1" ht="24.75" customHeight="1">
      <c r="A156" s="266"/>
      <c r="B156" s="313"/>
      <c r="C156" s="442"/>
      <c r="D156" s="440"/>
      <c r="E156" s="607"/>
      <c r="F156" s="22"/>
      <c r="G156" s="10"/>
      <c r="H156" s="22"/>
      <c r="I156" s="10"/>
      <c r="J156" s="10">
        <v>0</v>
      </c>
      <c r="K156" s="608"/>
      <c r="L156" s="224" t="s">
        <v>279</v>
      </c>
      <c r="M156" s="336"/>
    </row>
    <row r="157" spans="1:13" s="38" customFormat="1" ht="24.75" customHeight="1">
      <c r="A157" s="266"/>
      <c r="B157" s="313"/>
      <c r="C157" s="442"/>
      <c r="D157" s="440"/>
      <c r="E157" s="607"/>
      <c r="F157" s="22"/>
      <c r="G157" s="10"/>
      <c r="H157" s="22"/>
      <c r="I157" s="10"/>
      <c r="J157" s="10">
        <v>0</v>
      </c>
      <c r="K157" s="608"/>
      <c r="L157" s="224" t="s">
        <v>280</v>
      </c>
      <c r="M157" s="336"/>
    </row>
    <row r="158" spans="1:13" s="38" customFormat="1" ht="24.75" customHeight="1" thickBot="1">
      <c r="A158" s="266"/>
      <c r="B158" s="313"/>
      <c r="C158" s="442"/>
      <c r="D158" s="440"/>
      <c r="E158" s="607"/>
      <c r="F158" s="156"/>
      <c r="G158" s="157"/>
      <c r="H158" s="156"/>
      <c r="I158" s="157"/>
      <c r="J158" s="561">
        <v>0</v>
      </c>
      <c r="K158" s="609"/>
      <c r="L158" s="225" t="s">
        <v>281</v>
      </c>
      <c r="M158" s="336"/>
    </row>
    <row r="159" spans="1:13" s="38" customFormat="1" ht="24.75" customHeight="1" thickBot="1">
      <c r="A159" s="266"/>
      <c r="B159" s="313"/>
      <c r="C159" s="442"/>
      <c r="D159" s="262">
        <v>2023</v>
      </c>
      <c r="E159" s="166">
        <f>F159+G159+J159+K159</f>
        <v>0</v>
      </c>
      <c r="F159" s="610">
        <f>SUM(F160:F165)</f>
        <v>0</v>
      </c>
      <c r="G159" s="610">
        <f>H159+I159</f>
        <v>0</v>
      </c>
      <c r="H159" s="610">
        <f>SUM(H160:H165)</f>
        <v>0</v>
      </c>
      <c r="I159" s="610">
        <f>SUM(I160:I165)</f>
        <v>0</v>
      </c>
      <c r="J159" s="610">
        <f>SUM(J160:J165)</f>
        <v>0</v>
      </c>
      <c r="K159" s="611"/>
      <c r="L159" s="230"/>
      <c r="M159" s="336"/>
    </row>
    <row r="160" spans="1:13" s="38" customFormat="1" ht="24.75" customHeight="1">
      <c r="A160" s="266"/>
      <c r="B160" s="313"/>
      <c r="C160" s="442"/>
      <c r="D160" s="440"/>
      <c r="E160" s="607"/>
      <c r="F160" s="158"/>
      <c r="G160" s="164"/>
      <c r="H160" s="158"/>
      <c r="I160" s="164"/>
      <c r="J160" s="10">
        <v>0</v>
      </c>
      <c r="K160" s="606"/>
      <c r="L160" s="224" t="s">
        <v>277</v>
      </c>
      <c r="M160" s="336"/>
    </row>
    <row r="161" spans="1:13" s="38" customFormat="1" ht="24.75" customHeight="1">
      <c r="A161" s="266"/>
      <c r="B161" s="313"/>
      <c r="C161" s="442"/>
      <c r="D161" s="440"/>
      <c r="E161" s="607"/>
      <c r="F161" s="22"/>
      <c r="G161" s="10"/>
      <c r="H161" s="22"/>
      <c r="I161" s="10"/>
      <c r="J161" s="10">
        <v>0</v>
      </c>
      <c r="K161" s="608"/>
      <c r="L161" s="224" t="s">
        <v>276</v>
      </c>
      <c r="M161" s="336"/>
    </row>
    <row r="162" spans="1:13" s="38" customFormat="1" ht="24.75" customHeight="1">
      <c r="A162" s="266"/>
      <c r="B162" s="313"/>
      <c r="C162" s="442"/>
      <c r="D162" s="440"/>
      <c r="E162" s="607"/>
      <c r="F162" s="22"/>
      <c r="G162" s="10"/>
      <c r="H162" s="22"/>
      <c r="I162" s="10"/>
      <c r="J162" s="10">
        <v>0</v>
      </c>
      <c r="K162" s="608"/>
      <c r="L162" s="224" t="s">
        <v>278</v>
      </c>
      <c r="M162" s="336"/>
    </row>
    <row r="163" spans="1:13" s="38" customFormat="1" ht="24.75" customHeight="1">
      <c r="A163" s="266"/>
      <c r="B163" s="313"/>
      <c r="C163" s="442"/>
      <c r="D163" s="440"/>
      <c r="E163" s="607"/>
      <c r="F163" s="22"/>
      <c r="G163" s="10"/>
      <c r="H163" s="22"/>
      <c r="I163" s="10"/>
      <c r="J163" s="10">
        <v>0</v>
      </c>
      <c r="K163" s="608"/>
      <c r="L163" s="224" t="s">
        <v>279</v>
      </c>
      <c r="M163" s="336"/>
    </row>
    <row r="164" spans="1:13" s="38" customFormat="1" ht="24.75" customHeight="1">
      <c r="A164" s="266"/>
      <c r="B164" s="313"/>
      <c r="C164" s="442"/>
      <c r="D164" s="440"/>
      <c r="E164" s="607"/>
      <c r="F164" s="22"/>
      <c r="G164" s="10"/>
      <c r="H164" s="22"/>
      <c r="I164" s="10"/>
      <c r="J164" s="10">
        <v>0</v>
      </c>
      <c r="K164" s="608"/>
      <c r="L164" s="224" t="s">
        <v>280</v>
      </c>
      <c r="M164" s="336"/>
    </row>
    <row r="165" spans="1:13" s="38" customFormat="1" ht="24.75" customHeight="1" thickBot="1">
      <c r="A165" s="267"/>
      <c r="B165" s="300"/>
      <c r="C165" s="443"/>
      <c r="D165" s="440"/>
      <c r="E165" s="607"/>
      <c r="F165" s="156"/>
      <c r="G165" s="157"/>
      <c r="H165" s="156"/>
      <c r="I165" s="157"/>
      <c r="J165" s="10">
        <v>0</v>
      </c>
      <c r="K165" s="612"/>
      <c r="L165" s="225" t="s">
        <v>281</v>
      </c>
      <c r="M165" s="336"/>
    </row>
    <row r="166" spans="1:13" s="38" customFormat="1" ht="27.75" customHeight="1" thickBot="1">
      <c r="A166" s="342" t="s">
        <v>79</v>
      </c>
      <c r="B166" s="338" t="s">
        <v>124</v>
      </c>
      <c r="C166" s="339"/>
      <c r="D166" s="334">
        <v>2019</v>
      </c>
      <c r="E166" s="613">
        <f>F166+G166+J166+K166</f>
        <v>47.04</v>
      </c>
      <c r="F166" s="614">
        <f>SUM(F167:F172)</f>
        <v>0</v>
      </c>
      <c r="G166" s="610">
        <f>H166+I166</f>
        <v>0</v>
      </c>
      <c r="H166" s="161">
        <f>SUM(H167:H172)</f>
        <v>0</v>
      </c>
      <c r="I166" s="161">
        <f>SUM(I167:I172)</f>
        <v>0</v>
      </c>
      <c r="J166" s="161">
        <f>SUM(J167:J172)</f>
        <v>47.04</v>
      </c>
      <c r="K166" s="600"/>
      <c r="L166" s="228"/>
      <c r="M166" s="336"/>
    </row>
    <row r="167" spans="1:13" s="38" customFormat="1" ht="24.75" customHeight="1">
      <c r="A167" s="343"/>
      <c r="B167" s="340"/>
      <c r="C167" s="341"/>
      <c r="D167" s="335"/>
      <c r="E167" s="615"/>
      <c r="F167" s="616"/>
      <c r="G167" s="164">
        <f aca="true" t="shared" si="31" ref="G167:G188">H167+I167</f>
        <v>0</v>
      </c>
      <c r="H167" s="158"/>
      <c r="I167" s="164"/>
      <c r="J167" s="164">
        <v>4.5</v>
      </c>
      <c r="K167" s="597"/>
      <c r="L167" s="227" t="s">
        <v>125</v>
      </c>
      <c r="M167" s="336"/>
    </row>
    <row r="168" spans="1:13" s="38" customFormat="1" ht="24.75" customHeight="1">
      <c r="A168" s="343"/>
      <c r="B168" s="340"/>
      <c r="C168" s="341"/>
      <c r="D168" s="335"/>
      <c r="E168" s="615"/>
      <c r="F168" s="617"/>
      <c r="G168" s="10">
        <f t="shared" si="31"/>
        <v>0</v>
      </c>
      <c r="H168" s="22"/>
      <c r="I168" s="10"/>
      <c r="J168" s="10">
        <v>6</v>
      </c>
      <c r="K168" s="598"/>
      <c r="L168" s="224" t="s">
        <v>126</v>
      </c>
      <c r="M168" s="336"/>
    </row>
    <row r="169" spans="1:13" s="38" customFormat="1" ht="24.75" customHeight="1">
      <c r="A169" s="343"/>
      <c r="B169" s="340"/>
      <c r="C169" s="341"/>
      <c r="D169" s="335"/>
      <c r="E169" s="615"/>
      <c r="F169" s="617"/>
      <c r="G169" s="10">
        <f t="shared" si="31"/>
        <v>0</v>
      </c>
      <c r="H169" s="22"/>
      <c r="I169" s="10"/>
      <c r="J169" s="10">
        <v>4.5</v>
      </c>
      <c r="K169" s="598"/>
      <c r="L169" s="224" t="s">
        <v>127</v>
      </c>
      <c r="M169" s="336"/>
    </row>
    <row r="170" spans="1:13" s="38" customFormat="1" ht="24.75" customHeight="1">
      <c r="A170" s="343"/>
      <c r="B170" s="340"/>
      <c r="C170" s="341"/>
      <c r="D170" s="335"/>
      <c r="E170" s="615"/>
      <c r="F170" s="617"/>
      <c r="G170" s="10">
        <f t="shared" si="31"/>
        <v>0</v>
      </c>
      <c r="H170" s="22"/>
      <c r="I170" s="10"/>
      <c r="J170" s="10">
        <v>20.04</v>
      </c>
      <c r="K170" s="598"/>
      <c r="L170" s="224" t="s">
        <v>44</v>
      </c>
      <c r="M170" s="336"/>
    </row>
    <row r="171" spans="1:13" s="38" customFormat="1" ht="24.75" customHeight="1">
      <c r="A171" s="343"/>
      <c r="B171" s="340"/>
      <c r="C171" s="341"/>
      <c r="D171" s="335"/>
      <c r="E171" s="615"/>
      <c r="F171" s="617"/>
      <c r="G171" s="10">
        <f t="shared" si="31"/>
        <v>0</v>
      </c>
      <c r="H171" s="22"/>
      <c r="I171" s="10"/>
      <c r="J171" s="10">
        <v>12</v>
      </c>
      <c r="K171" s="598"/>
      <c r="L171" s="224" t="s">
        <v>283</v>
      </c>
      <c r="M171" s="336"/>
    </row>
    <row r="172" spans="1:13" s="38" customFormat="1" ht="24.75" customHeight="1" thickBot="1">
      <c r="A172" s="343"/>
      <c r="B172" s="340"/>
      <c r="C172" s="341"/>
      <c r="D172" s="348"/>
      <c r="E172" s="618"/>
      <c r="F172" s="619"/>
      <c r="G172" s="561">
        <f t="shared" si="31"/>
        <v>0</v>
      </c>
      <c r="H172" s="526"/>
      <c r="I172" s="561"/>
      <c r="J172" s="561">
        <v>0</v>
      </c>
      <c r="K172" s="599"/>
      <c r="L172" s="225"/>
      <c r="M172" s="336"/>
    </row>
    <row r="173" spans="1:13" s="38" customFormat="1" ht="24.75" customHeight="1" thickBot="1">
      <c r="A173" s="343"/>
      <c r="B173" s="340"/>
      <c r="C173" s="341"/>
      <c r="D173" s="330">
        <v>2020</v>
      </c>
      <c r="E173" s="596">
        <f>F173+G173+J173+K173</f>
        <v>39.64</v>
      </c>
      <c r="F173" s="620"/>
      <c r="G173" s="176">
        <f t="shared" si="31"/>
        <v>0</v>
      </c>
      <c r="H173" s="176">
        <f>H174+H175+H176+H177+H179+H180</f>
        <v>0</v>
      </c>
      <c r="I173" s="176">
        <f>I174+I175+I176+I177+I179+I180</f>
        <v>0</v>
      </c>
      <c r="J173" s="176">
        <f>SUM(J174:J180)</f>
        <v>39.64</v>
      </c>
      <c r="K173" s="621">
        <f>K174+K175+K176+K177+K179+K180</f>
        <v>0</v>
      </c>
      <c r="L173" s="228"/>
      <c r="M173" s="336"/>
    </row>
    <row r="174" spans="1:13" s="38" customFormat="1" ht="25.5" customHeight="1">
      <c r="A174" s="343"/>
      <c r="B174" s="340"/>
      <c r="C174" s="341"/>
      <c r="D174" s="331"/>
      <c r="E174" s="592"/>
      <c r="F174" s="533"/>
      <c r="G174" s="533">
        <f t="shared" si="31"/>
        <v>0</v>
      </c>
      <c r="H174" s="533"/>
      <c r="I174" s="522"/>
      <c r="J174" s="522">
        <f>12-7.4</f>
        <v>4.6</v>
      </c>
      <c r="K174" s="533"/>
      <c r="L174" s="227" t="s">
        <v>282</v>
      </c>
      <c r="M174" s="336"/>
    </row>
    <row r="175" spans="1:13" s="38" customFormat="1" ht="24.75" customHeight="1">
      <c r="A175" s="343"/>
      <c r="B175" s="340"/>
      <c r="C175" s="341"/>
      <c r="D175" s="331"/>
      <c r="E175" s="592"/>
      <c r="F175" s="21"/>
      <c r="G175" s="21">
        <f t="shared" si="31"/>
        <v>0</v>
      </c>
      <c r="H175" s="21"/>
      <c r="I175" s="8"/>
      <c r="J175" s="8">
        <v>4.5</v>
      </c>
      <c r="K175" s="21"/>
      <c r="L175" s="227" t="s">
        <v>125</v>
      </c>
      <c r="M175" s="336"/>
    </row>
    <row r="176" spans="1:13" s="38" customFormat="1" ht="24.75" customHeight="1">
      <c r="A176" s="343"/>
      <c r="B176" s="340"/>
      <c r="C176" s="341"/>
      <c r="D176" s="331"/>
      <c r="E176" s="592"/>
      <c r="F176" s="21"/>
      <c r="G176" s="21">
        <f t="shared" si="31"/>
        <v>0</v>
      </c>
      <c r="H176" s="21"/>
      <c r="I176" s="8"/>
      <c r="J176" s="8">
        <v>6</v>
      </c>
      <c r="K176" s="21"/>
      <c r="L176" s="224" t="s">
        <v>126</v>
      </c>
      <c r="M176" s="336"/>
    </row>
    <row r="177" spans="1:13" s="38" customFormat="1" ht="24.75" customHeight="1">
      <c r="A177" s="343"/>
      <c r="B177" s="340"/>
      <c r="C177" s="341"/>
      <c r="D177" s="331"/>
      <c r="E177" s="592"/>
      <c r="F177" s="21"/>
      <c r="G177" s="21">
        <f t="shared" si="31"/>
        <v>0</v>
      </c>
      <c r="H177" s="21"/>
      <c r="I177" s="8"/>
      <c r="J177" s="8">
        <v>4.5</v>
      </c>
      <c r="K177" s="21"/>
      <c r="L177" s="224" t="s">
        <v>127</v>
      </c>
      <c r="M177" s="336"/>
    </row>
    <row r="178" spans="1:13" s="38" customFormat="1" ht="24.75" customHeight="1">
      <c r="A178" s="343"/>
      <c r="B178" s="340"/>
      <c r="C178" s="341"/>
      <c r="D178" s="331"/>
      <c r="E178" s="592"/>
      <c r="F178" s="21"/>
      <c r="G178" s="21">
        <f t="shared" si="31"/>
        <v>0</v>
      </c>
      <c r="H178" s="21"/>
      <c r="I178" s="8"/>
      <c r="J178" s="10">
        <v>20.04</v>
      </c>
      <c r="K178" s="598"/>
      <c r="L178" s="224" t="s">
        <v>44</v>
      </c>
      <c r="M178" s="336"/>
    </row>
    <row r="179" spans="1:13" s="38" customFormat="1" ht="24.75" customHeight="1">
      <c r="A179" s="343"/>
      <c r="B179" s="340"/>
      <c r="C179" s="341"/>
      <c r="D179" s="331"/>
      <c r="E179" s="592"/>
      <c r="F179" s="21"/>
      <c r="G179" s="21">
        <f t="shared" si="31"/>
        <v>0</v>
      </c>
      <c r="H179" s="21"/>
      <c r="I179" s="8"/>
      <c r="J179" s="8">
        <v>0</v>
      </c>
      <c r="K179" s="21"/>
      <c r="L179" s="224" t="s">
        <v>280</v>
      </c>
      <c r="M179" s="336"/>
    </row>
    <row r="180" spans="1:13" s="38" customFormat="1" ht="24.75" customHeight="1" thickBot="1">
      <c r="A180" s="343"/>
      <c r="B180" s="340"/>
      <c r="C180" s="341"/>
      <c r="D180" s="332"/>
      <c r="E180" s="594"/>
      <c r="F180" s="187"/>
      <c r="G180" s="187">
        <f t="shared" si="31"/>
        <v>0</v>
      </c>
      <c r="H180" s="187"/>
      <c r="I180" s="188"/>
      <c r="J180" s="188">
        <v>0</v>
      </c>
      <c r="K180" s="187"/>
      <c r="L180" s="225" t="s">
        <v>281</v>
      </c>
      <c r="M180" s="336"/>
    </row>
    <row r="181" spans="1:13" s="38" customFormat="1" ht="24.75" customHeight="1" thickBot="1">
      <c r="A181" s="343"/>
      <c r="B181" s="340"/>
      <c r="C181" s="341"/>
      <c r="D181" s="330">
        <v>2021</v>
      </c>
      <c r="E181" s="596">
        <f>F181+G181+J181+K181</f>
        <v>0</v>
      </c>
      <c r="F181" s="620"/>
      <c r="G181" s="176">
        <f t="shared" si="31"/>
        <v>0</v>
      </c>
      <c r="H181" s="176">
        <f>H182+H183+H184+H185+H187+H188</f>
        <v>0</v>
      </c>
      <c r="I181" s="176">
        <f>I182+I183+I184+I185+I187+I188</f>
        <v>0</v>
      </c>
      <c r="J181" s="176">
        <f>SUM(J182:J188)</f>
        <v>0</v>
      </c>
      <c r="K181" s="176">
        <f>K182+K183+K184+K185+K187+K188</f>
        <v>0</v>
      </c>
      <c r="L181" s="230"/>
      <c r="M181" s="336"/>
    </row>
    <row r="182" spans="1:13" s="38" customFormat="1" ht="24.75" customHeight="1">
      <c r="A182" s="343"/>
      <c r="B182" s="340"/>
      <c r="C182" s="341"/>
      <c r="D182" s="331"/>
      <c r="E182" s="592"/>
      <c r="F182" s="533"/>
      <c r="G182" s="533">
        <f t="shared" si="31"/>
        <v>0</v>
      </c>
      <c r="H182" s="533"/>
      <c r="I182" s="522"/>
      <c r="J182" s="8">
        <v>0</v>
      </c>
      <c r="K182" s="533"/>
      <c r="L182" s="227" t="s">
        <v>282</v>
      </c>
      <c r="M182" s="336"/>
    </row>
    <row r="183" spans="1:13" s="38" customFormat="1" ht="24.75" customHeight="1">
      <c r="A183" s="343"/>
      <c r="B183" s="340"/>
      <c r="C183" s="341"/>
      <c r="D183" s="331"/>
      <c r="E183" s="592"/>
      <c r="F183" s="21"/>
      <c r="G183" s="21">
        <f t="shared" si="31"/>
        <v>0</v>
      </c>
      <c r="H183" s="21"/>
      <c r="I183" s="8"/>
      <c r="J183" s="8">
        <v>0</v>
      </c>
      <c r="K183" s="21"/>
      <c r="L183" s="227" t="s">
        <v>125</v>
      </c>
      <c r="M183" s="336"/>
    </row>
    <row r="184" spans="1:13" s="38" customFormat="1" ht="24.75" customHeight="1">
      <c r="A184" s="343"/>
      <c r="B184" s="340"/>
      <c r="C184" s="341"/>
      <c r="D184" s="331"/>
      <c r="E184" s="592"/>
      <c r="F184" s="21"/>
      <c r="G184" s="21">
        <f t="shared" si="31"/>
        <v>0</v>
      </c>
      <c r="H184" s="21"/>
      <c r="I184" s="8"/>
      <c r="J184" s="8">
        <v>0</v>
      </c>
      <c r="K184" s="21"/>
      <c r="L184" s="224" t="s">
        <v>126</v>
      </c>
      <c r="M184" s="336"/>
    </row>
    <row r="185" spans="1:13" s="38" customFormat="1" ht="24.75" customHeight="1">
      <c r="A185" s="343"/>
      <c r="B185" s="340"/>
      <c r="C185" s="341"/>
      <c r="D185" s="331"/>
      <c r="E185" s="592"/>
      <c r="F185" s="21"/>
      <c r="G185" s="21">
        <f t="shared" si="31"/>
        <v>0</v>
      </c>
      <c r="H185" s="21"/>
      <c r="I185" s="8"/>
      <c r="J185" s="8">
        <v>0</v>
      </c>
      <c r="K185" s="21"/>
      <c r="L185" s="224" t="s">
        <v>127</v>
      </c>
      <c r="M185" s="336"/>
    </row>
    <row r="186" spans="1:13" s="38" customFormat="1" ht="24.75" customHeight="1">
      <c r="A186" s="343"/>
      <c r="B186" s="340"/>
      <c r="C186" s="341"/>
      <c r="D186" s="331"/>
      <c r="E186" s="592"/>
      <c r="F186" s="21"/>
      <c r="G186" s="21">
        <f t="shared" si="31"/>
        <v>0</v>
      </c>
      <c r="H186" s="21"/>
      <c r="I186" s="8"/>
      <c r="J186" s="8">
        <v>0</v>
      </c>
      <c r="K186" s="21"/>
      <c r="L186" s="224" t="s">
        <v>44</v>
      </c>
      <c r="M186" s="336"/>
    </row>
    <row r="187" spans="1:13" s="38" customFormat="1" ht="24.75" customHeight="1">
      <c r="A187" s="343"/>
      <c r="B187" s="340"/>
      <c r="C187" s="341"/>
      <c r="D187" s="331"/>
      <c r="E187" s="592"/>
      <c r="F187" s="21"/>
      <c r="G187" s="21">
        <f t="shared" si="31"/>
        <v>0</v>
      </c>
      <c r="H187" s="21"/>
      <c r="I187" s="8"/>
      <c r="J187" s="8">
        <v>0</v>
      </c>
      <c r="K187" s="21"/>
      <c r="L187" s="224" t="s">
        <v>280</v>
      </c>
      <c r="M187" s="336"/>
    </row>
    <row r="188" spans="1:13" s="38" customFormat="1" ht="24.75" customHeight="1" thickBot="1">
      <c r="A188" s="343"/>
      <c r="B188" s="340"/>
      <c r="C188" s="341"/>
      <c r="D188" s="332"/>
      <c r="E188" s="594"/>
      <c r="F188" s="187"/>
      <c r="G188" s="187">
        <f t="shared" si="31"/>
        <v>0</v>
      </c>
      <c r="H188" s="187"/>
      <c r="I188" s="188"/>
      <c r="J188" s="188">
        <v>0</v>
      </c>
      <c r="K188" s="187"/>
      <c r="L188" s="225" t="s">
        <v>281</v>
      </c>
      <c r="M188" s="336"/>
    </row>
    <row r="189" spans="1:13" s="38" customFormat="1" ht="24" customHeight="1" thickBot="1">
      <c r="A189" s="343"/>
      <c r="B189" s="340"/>
      <c r="C189" s="341"/>
      <c r="D189" s="334">
        <v>2022</v>
      </c>
      <c r="E189" s="596">
        <f>F189+G189+J189+K189</f>
        <v>0</v>
      </c>
      <c r="F189" s="620"/>
      <c r="G189" s="176">
        <f>SUM(G190:G196)</f>
        <v>0</v>
      </c>
      <c r="H189" s="176">
        <f>SUM(H190:H196)</f>
        <v>0</v>
      </c>
      <c r="I189" s="176">
        <f>SUM(I190:I196)</f>
        <v>0</v>
      </c>
      <c r="J189" s="176">
        <f>SUM(J190:J196)</f>
        <v>0</v>
      </c>
      <c r="K189" s="176">
        <f>SUM(K190:K196)</f>
        <v>0</v>
      </c>
      <c r="L189" s="226"/>
      <c r="M189" s="143"/>
    </row>
    <row r="190" spans="1:13" s="38" customFormat="1" ht="23.25" customHeight="1">
      <c r="A190" s="343"/>
      <c r="B190" s="340"/>
      <c r="C190" s="341"/>
      <c r="D190" s="335"/>
      <c r="E190" s="592"/>
      <c r="F190" s="533"/>
      <c r="G190" s="533"/>
      <c r="H190" s="533"/>
      <c r="I190" s="522"/>
      <c r="J190" s="8">
        <v>0</v>
      </c>
      <c r="K190" s="533"/>
      <c r="L190" s="224" t="s">
        <v>282</v>
      </c>
      <c r="M190" s="143"/>
    </row>
    <row r="191" spans="1:13" s="38" customFormat="1" ht="24.75" customHeight="1">
      <c r="A191" s="343"/>
      <c r="B191" s="340"/>
      <c r="C191" s="341"/>
      <c r="D191" s="335"/>
      <c r="E191" s="592"/>
      <c r="F191" s="21"/>
      <c r="G191" s="21"/>
      <c r="H191" s="21"/>
      <c r="I191" s="8"/>
      <c r="J191" s="8">
        <v>0</v>
      </c>
      <c r="K191" s="21"/>
      <c r="L191" s="227" t="s">
        <v>125</v>
      </c>
      <c r="M191" s="143"/>
    </row>
    <row r="192" spans="1:13" s="38" customFormat="1" ht="24.75" customHeight="1">
      <c r="A192" s="343"/>
      <c r="B192" s="340"/>
      <c r="C192" s="341"/>
      <c r="D192" s="335"/>
      <c r="E192" s="592"/>
      <c r="F192" s="21"/>
      <c r="G192" s="21"/>
      <c r="H192" s="21"/>
      <c r="I192" s="8"/>
      <c r="J192" s="8">
        <v>0</v>
      </c>
      <c r="K192" s="21"/>
      <c r="L192" s="224" t="s">
        <v>126</v>
      </c>
      <c r="M192" s="143"/>
    </row>
    <row r="193" spans="1:13" s="38" customFormat="1" ht="24.75" customHeight="1">
      <c r="A193" s="343"/>
      <c r="B193" s="340"/>
      <c r="C193" s="341"/>
      <c r="D193" s="335"/>
      <c r="E193" s="592"/>
      <c r="F193" s="21"/>
      <c r="G193" s="21"/>
      <c r="H193" s="21"/>
      <c r="I193" s="8"/>
      <c r="J193" s="8">
        <v>0</v>
      </c>
      <c r="K193" s="21"/>
      <c r="L193" s="224" t="s">
        <v>127</v>
      </c>
      <c r="M193" s="143"/>
    </row>
    <row r="194" spans="1:13" s="38" customFormat="1" ht="24.75" customHeight="1">
      <c r="A194" s="343"/>
      <c r="B194" s="340"/>
      <c r="C194" s="341"/>
      <c r="D194" s="335"/>
      <c r="E194" s="592"/>
      <c r="F194" s="21"/>
      <c r="G194" s="21"/>
      <c r="H194" s="21"/>
      <c r="I194" s="8"/>
      <c r="J194" s="8">
        <v>0</v>
      </c>
      <c r="K194" s="21"/>
      <c r="L194" s="224" t="s">
        <v>44</v>
      </c>
      <c r="M194" s="143"/>
    </row>
    <row r="195" spans="1:13" s="38" customFormat="1" ht="24.75" customHeight="1">
      <c r="A195" s="343"/>
      <c r="B195" s="340"/>
      <c r="C195" s="341"/>
      <c r="D195" s="335"/>
      <c r="E195" s="592"/>
      <c r="F195" s="21"/>
      <c r="G195" s="21"/>
      <c r="H195" s="21"/>
      <c r="I195" s="8"/>
      <c r="J195" s="8">
        <v>0</v>
      </c>
      <c r="K195" s="21"/>
      <c r="L195" s="224" t="s">
        <v>280</v>
      </c>
      <c r="M195" s="143"/>
    </row>
    <row r="196" spans="1:13" s="38" customFormat="1" ht="24.75" customHeight="1" thickBot="1">
      <c r="A196" s="343"/>
      <c r="B196" s="340"/>
      <c r="C196" s="341"/>
      <c r="D196" s="335"/>
      <c r="E196" s="622"/>
      <c r="F196" s="167"/>
      <c r="G196" s="167"/>
      <c r="H196" s="167"/>
      <c r="I196" s="169"/>
      <c r="J196" s="8">
        <v>0</v>
      </c>
      <c r="K196" s="167"/>
      <c r="L196" s="225" t="s">
        <v>281</v>
      </c>
      <c r="M196" s="154"/>
    </row>
    <row r="197" spans="1:13" s="38" customFormat="1" ht="24.75" customHeight="1" thickBot="1">
      <c r="A197" s="343"/>
      <c r="B197" s="340"/>
      <c r="C197" s="341"/>
      <c r="D197" s="79">
        <v>2023</v>
      </c>
      <c r="E197" s="161">
        <f>F197+G197+J197+K197</f>
        <v>0</v>
      </c>
      <c r="F197" s="176">
        <f>SUM(F198:F204)</f>
        <v>0</v>
      </c>
      <c r="G197" s="176">
        <f>H197+I197</f>
        <v>0</v>
      </c>
      <c r="H197" s="176">
        <f>SUM(H198:H204)</f>
        <v>0</v>
      </c>
      <c r="I197" s="176">
        <f>SUM(I198:I204)</f>
        <v>0</v>
      </c>
      <c r="J197" s="176">
        <f>SUM(J198:J204)</f>
        <v>0</v>
      </c>
      <c r="K197" s="176">
        <f>SUM(K198:K204)</f>
        <v>0</v>
      </c>
      <c r="L197" s="230"/>
      <c r="M197" s="62"/>
    </row>
    <row r="198" spans="1:13" s="38" customFormat="1" ht="24.75" customHeight="1">
      <c r="A198" s="343"/>
      <c r="B198" s="340"/>
      <c r="C198" s="341"/>
      <c r="D198" s="499"/>
      <c r="E198" s="605"/>
      <c r="F198" s="533"/>
      <c r="G198" s="533"/>
      <c r="H198" s="533"/>
      <c r="I198" s="522"/>
      <c r="J198" s="8">
        <v>0</v>
      </c>
      <c r="K198" s="533"/>
      <c r="L198" s="224" t="s">
        <v>282</v>
      </c>
      <c r="M198" s="236"/>
    </row>
    <row r="199" spans="1:13" s="38" customFormat="1" ht="24.75" customHeight="1">
      <c r="A199" s="343"/>
      <c r="B199" s="340"/>
      <c r="C199" s="341"/>
      <c r="D199" s="440"/>
      <c r="E199" s="607"/>
      <c r="F199" s="21"/>
      <c r="G199" s="21"/>
      <c r="H199" s="21"/>
      <c r="I199" s="8"/>
      <c r="J199" s="8">
        <v>0</v>
      </c>
      <c r="K199" s="21"/>
      <c r="L199" s="227" t="s">
        <v>125</v>
      </c>
      <c r="M199" s="143"/>
    </row>
    <row r="200" spans="1:13" s="38" customFormat="1" ht="24.75" customHeight="1">
      <c r="A200" s="343"/>
      <c r="B200" s="340"/>
      <c r="C200" s="341"/>
      <c r="D200" s="440"/>
      <c r="E200" s="607"/>
      <c r="F200" s="21"/>
      <c r="G200" s="21"/>
      <c r="H200" s="21"/>
      <c r="I200" s="8"/>
      <c r="J200" s="8">
        <v>0</v>
      </c>
      <c r="K200" s="21"/>
      <c r="L200" s="224" t="s">
        <v>126</v>
      </c>
      <c r="M200" s="143"/>
    </row>
    <row r="201" spans="1:13" s="38" customFormat="1" ht="24" customHeight="1">
      <c r="A201" s="343"/>
      <c r="B201" s="340"/>
      <c r="C201" s="341"/>
      <c r="D201" s="440"/>
      <c r="E201" s="607"/>
      <c r="F201" s="21"/>
      <c r="G201" s="21"/>
      <c r="H201" s="21"/>
      <c r="I201" s="8"/>
      <c r="J201" s="8">
        <v>0</v>
      </c>
      <c r="K201" s="21"/>
      <c r="L201" s="224" t="s">
        <v>127</v>
      </c>
      <c r="M201" s="143"/>
    </row>
    <row r="202" spans="1:13" s="38" customFormat="1" ht="24" customHeight="1">
      <c r="A202" s="343"/>
      <c r="B202" s="340"/>
      <c r="C202" s="341"/>
      <c r="D202" s="440"/>
      <c r="E202" s="607"/>
      <c r="F202" s="21"/>
      <c r="G202" s="21"/>
      <c r="H202" s="21"/>
      <c r="I202" s="8"/>
      <c r="J202" s="8">
        <v>0</v>
      </c>
      <c r="K202" s="21"/>
      <c r="L202" s="224" t="s">
        <v>44</v>
      </c>
      <c r="M202" s="143"/>
    </row>
    <row r="203" spans="1:13" s="38" customFormat="1" ht="24" customHeight="1">
      <c r="A203" s="343"/>
      <c r="B203" s="340"/>
      <c r="C203" s="341"/>
      <c r="D203" s="440"/>
      <c r="E203" s="607"/>
      <c r="F203" s="21"/>
      <c r="G203" s="21"/>
      <c r="H203" s="21"/>
      <c r="I203" s="8"/>
      <c r="J203" s="8">
        <v>0</v>
      </c>
      <c r="K203" s="21"/>
      <c r="L203" s="224" t="s">
        <v>280</v>
      </c>
      <c r="M203" s="143"/>
    </row>
    <row r="204" spans="1:13" s="38" customFormat="1" ht="24.75" customHeight="1" thickBot="1">
      <c r="A204" s="343"/>
      <c r="B204" s="340"/>
      <c r="C204" s="341"/>
      <c r="D204" s="440"/>
      <c r="E204" s="607"/>
      <c r="F204" s="167"/>
      <c r="G204" s="167"/>
      <c r="H204" s="167"/>
      <c r="I204" s="169"/>
      <c r="J204" s="8">
        <v>0</v>
      </c>
      <c r="K204" s="167"/>
      <c r="L204" s="225" t="s">
        <v>281</v>
      </c>
      <c r="M204" s="143"/>
    </row>
    <row r="205" spans="1:13" s="38" customFormat="1" ht="33" customHeight="1">
      <c r="A205" s="349" t="s">
        <v>218</v>
      </c>
      <c r="B205" s="344" t="s">
        <v>202</v>
      </c>
      <c r="C205" s="345"/>
      <c r="D205" s="173">
        <v>2017</v>
      </c>
      <c r="E205" s="183">
        <f aca="true" t="shared" si="32" ref="E205:E213">F205+G205+J205+K205</f>
        <v>169.78</v>
      </c>
      <c r="F205" s="183"/>
      <c r="G205" s="183">
        <f aca="true" t="shared" si="33" ref="G205:G213">H205+I205</f>
        <v>155.2</v>
      </c>
      <c r="H205" s="183"/>
      <c r="I205" s="183">
        <v>155.2</v>
      </c>
      <c r="J205" s="183">
        <f>15-0.42</f>
        <v>14.58</v>
      </c>
      <c r="K205" s="183"/>
      <c r="L205" s="231" t="s">
        <v>46</v>
      </c>
      <c r="M205" s="336" t="s">
        <v>55</v>
      </c>
    </row>
    <row r="206" spans="1:13" s="38" customFormat="1" ht="31.5" customHeight="1">
      <c r="A206" s="350"/>
      <c r="B206" s="293"/>
      <c r="C206" s="294"/>
      <c r="D206" s="17">
        <v>2018</v>
      </c>
      <c r="E206" s="21">
        <f t="shared" si="32"/>
        <v>162.2</v>
      </c>
      <c r="F206" s="21"/>
      <c r="G206" s="21">
        <f t="shared" si="33"/>
        <v>162.2</v>
      </c>
      <c r="H206" s="21"/>
      <c r="I206" s="21">
        <v>162.2</v>
      </c>
      <c r="J206" s="8"/>
      <c r="K206" s="21"/>
      <c r="L206" s="224" t="s">
        <v>46</v>
      </c>
      <c r="M206" s="336"/>
    </row>
    <row r="207" spans="1:13" s="38" customFormat="1" ht="27.75" customHeight="1">
      <c r="A207" s="350"/>
      <c r="B207" s="293"/>
      <c r="C207" s="294"/>
      <c r="D207" s="17">
        <v>2019</v>
      </c>
      <c r="E207" s="21">
        <f t="shared" si="32"/>
        <v>481.1</v>
      </c>
      <c r="F207" s="21"/>
      <c r="G207" s="21">
        <f t="shared" si="33"/>
        <v>481.1</v>
      </c>
      <c r="H207" s="21"/>
      <c r="I207" s="21">
        <v>481.1</v>
      </c>
      <c r="J207" s="8"/>
      <c r="K207" s="21"/>
      <c r="L207" s="224" t="s">
        <v>46</v>
      </c>
      <c r="M207" s="336"/>
    </row>
    <row r="208" spans="1:13" s="38" customFormat="1" ht="24" customHeight="1">
      <c r="A208" s="350"/>
      <c r="B208" s="293"/>
      <c r="C208" s="294"/>
      <c r="D208" s="17">
        <v>2020</v>
      </c>
      <c r="E208" s="21">
        <f>F208+G208+J208+K208</f>
        <v>163.2</v>
      </c>
      <c r="F208" s="21"/>
      <c r="G208" s="21">
        <f t="shared" si="33"/>
        <v>163.2</v>
      </c>
      <c r="H208" s="21"/>
      <c r="I208" s="21">
        <v>163.2</v>
      </c>
      <c r="J208" s="8"/>
      <c r="K208" s="21"/>
      <c r="L208" s="224" t="s">
        <v>46</v>
      </c>
      <c r="M208" s="336"/>
    </row>
    <row r="209" spans="1:13" s="38" customFormat="1" ht="24.75" customHeight="1">
      <c r="A209" s="350"/>
      <c r="B209" s="293"/>
      <c r="C209" s="294"/>
      <c r="D209" s="17">
        <v>2021</v>
      </c>
      <c r="E209" s="21">
        <f>F209+G209+J209+K209</f>
        <v>0</v>
      </c>
      <c r="F209" s="21"/>
      <c r="G209" s="21">
        <f>H209+I209</f>
        <v>0</v>
      </c>
      <c r="H209" s="21"/>
      <c r="I209" s="21">
        <v>0</v>
      </c>
      <c r="J209" s="8"/>
      <c r="K209" s="21"/>
      <c r="L209" s="224" t="s">
        <v>46</v>
      </c>
      <c r="M209" s="336"/>
    </row>
    <row r="210" spans="1:13" s="38" customFormat="1" ht="27" customHeight="1">
      <c r="A210" s="350"/>
      <c r="B210" s="293"/>
      <c r="C210" s="294"/>
      <c r="D210" s="6">
        <v>2022</v>
      </c>
      <c r="E210" s="21">
        <f t="shared" si="32"/>
        <v>0</v>
      </c>
      <c r="F210" s="21"/>
      <c r="G210" s="21">
        <f t="shared" si="33"/>
        <v>0</v>
      </c>
      <c r="H210" s="21"/>
      <c r="I210" s="21">
        <v>0</v>
      </c>
      <c r="J210" s="8"/>
      <c r="K210" s="21"/>
      <c r="L210" s="224" t="s">
        <v>46</v>
      </c>
      <c r="M210" s="336"/>
    </row>
    <row r="211" spans="1:13" s="38" customFormat="1" ht="30" customHeight="1" thickBot="1">
      <c r="A211" s="351"/>
      <c r="B211" s="346"/>
      <c r="C211" s="347"/>
      <c r="D211" s="175">
        <v>2023</v>
      </c>
      <c r="E211" s="590">
        <f t="shared" si="32"/>
        <v>0</v>
      </c>
      <c r="F211" s="590"/>
      <c r="G211" s="590">
        <f t="shared" si="33"/>
        <v>0</v>
      </c>
      <c r="H211" s="590"/>
      <c r="I211" s="590">
        <v>0</v>
      </c>
      <c r="J211" s="623"/>
      <c r="K211" s="590"/>
      <c r="L211" s="224" t="s">
        <v>46</v>
      </c>
      <c r="M211" s="143"/>
    </row>
    <row r="212" spans="1:13" s="38" customFormat="1" ht="63.75" customHeight="1" thickBot="1">
      <c r="A212" s="147" t="s">
        <v>112</v>
      </c>
      <c r="B212" s="337" t="s">
        <v>201</v>
      </c>
      <c r="C212" s="337"/>
      <c r="D212" s="148">
        <v>2019</v>
      </c>
      <c r="E212" s="176">
        <f>F212+G212+J212+K212</f>
        <v>96.58</v>
      </c>
      <c r="F212" s="176"/>
      <c r="G212" s="176">
        <f>H212+I212</f>
        <v>0</v>
      </c>
      <c r="H212" s="176"/>
      <c r="I212" s="176"/>
      <c r="J212" s="176">
        <v>96.58</v>
      </c>
      <c r="K212" s="176"/>
      <c r="L212" s="101" t="s">
        <v>177</v>
      </c>
      <c r="M212" s="143"/>
    </row>
    <row r="213" spans="1:13" s="38" customFormat="1" ht="78.75" customHeight="1" thickBot="1">
      <c r="A213" s="142" t="s">
        <v>165</v>
      </c>
      <c r="B213" s="352" t="s">
        <v>80</v>
      </c>
      <c r="C213" s="352"/>
      <c r="D213" s="146">
        <v>2017</v>
      </c>
      <c r="E213" s="568">
        <f t="shared" si="32"/>
        <v>2375.768</v>
      </c>
      <c r="F213" s="533"/>
      <c r="G213" s="533">
        <f t="shared" si="33"/>
        <v>0</v>
      </c>
      <c r="H213" s="624"/>
      <c r="I213" s="624"/>
      <c r="J213" s="533">
        <v>2375.768</v>
      </c>
      <c r="K213" s="533"/>
      <c r="L213" s="223" t="s">
        <v>37</v>
      </c>
      <c r="M213" s="12" t="s">
        <v>61</v>
      </c>
    </row>
    <row r="214" spans="1:13" s="49" customFormat="1" ht="46.5" customHeight="1" thickBot="1">
      <c r="A214" s="116" t="s">
        <v>247</v>
      </c>
      <c r="B214" s="258" t="s">
        <v>154</v>
      </c>
      <c r="C214" s="258"/>
      <c r="D214" s="138">
        <v>2019</v>
      </c>
      <c r="E214" s="625">
        <f>F214+G214+J214+K214</f>
        <v>330</v>
      </c>
      <c r="F214" s="626"/>
      <c r="G214" s="183">
        <f>H214+I214</f>
        <v>0</v>
      </c>
      <c r="H214" s="183">
        <v>0</v>
      </c>
      <c r="I214" s="183">
        <v>0</v>
      </c>
      <c r="J214" s="183">
        <f>330.278-0.278</f>
        <v>330</v>
      </c>
      <c r="K214" s="627"/>
      <c r="L214" s="139" t="s">
        <v>159</v>
      </c>
      <c r="M214" s="140"/>
    </row>
    <row r="215" spans="1:13" s="60" customFormat="1" ht="38.25" customHeight="1" hidden="1" thickBot="1">
      <c r="A215" s="149" t="s">
        <v>165</v>
      </c>
      <c r="B215" s="353"/>
      <c r="C215" s="354"/>
      <c r="D215" s="70"/>
      <c r="E215" s="122"/>
      <c r="F215" s="568"/>
      <c r="G215" s="122"/>
      <c r="H215" s="122"/>
      <c r="I215" s="122"/>
      <c r="J215" s="122"/>
      <c r="K215" s="568"/>
      <c r="L215" s="127"/>
      <c r="M215" s="102"/>
    </row>
    <row r="216" spans="1:13" s="60" customFormat="1" ht="91.5" customHeight="1" thickBot="1">
      <c r="A216" s="116" t="s">
        <v>260</v>
      </c>
      <c r="B216" s="355" t="s">
        <v>170</v>
      </c>
      <c r="C216" s="355"/>
      <c r="D216" s="150">
        <v>2019</v>
      </c>
      <c r="E216" s="628">
        <f>F216+G216+J216+K216</f>
        <v>80.293</v>
      </c>
      <c r="F216" s="176"/>
      <c r="G216" s="629">
        <f>H216+I216</f>
        <v>0</v>
      </c>
      <c r="H216" s="629">
        <v>0</v>
      </c>
      <c r="I216" s="629">
        <v>0</v>
      </c>
      <c r="J216" s="629">
        <f>19+61.293</f>
        <v>80.293</v>
      </c>
      <c r="K216" s="176">
        <v>0</v>
      </c>
      <c r="L216" s="101" t="s">
        <v>3</v>
      </c>
      <c r="M216" s="62" t="s">
        <v>169</v>
      </c>
    </row>
    <row r="217" spans="1:13" s="60" customFormat="1" ht="255" customHeight="1" thickBot="1">
      <c r="A217" s="48" t="s">
        <v>261</v>
      </c>
      <c r="B217" s="356" t="s">
        <v>209</v>
      </c>
      <c r="C217" s="356"/>
      <c r="D217" s="151">
        <v>2019</v>
      </c>
      <c r="E217" s="629">
        <f>F217+G217+J217+K217</f>
        <v>0</v>
      </c>
      <c r="F217" s="176"/>
      <c r="G217" s="629">
        <f>H217+I217</f>
        <v>0</v>
      </c>
      <c r="H217" s="629">
        <v>0</v>
      </c>
      <c r="I217" s="629">
        <v>0</v>
      </c>
      <c r="J217" s="629">
        <v>0</v>
      </c>
      <c r="K217" s="176">
        <v>0</v>
      </c>
      <c r="L217" s="152" t="s">
        <v>166</v>
      </c>
      <c r="M217" s="153" t="s">
        <v>210</v>
      </c>
    </row>
    <row r="218" spans="1:13" s="60" customFormat="1" ht="31.5" customHeight="1" thickBot="1">
      <c r="A218" s="372" t="s">
        <v>262</v>
      </c>
      <c r="B218" s="366" t="s">
        <v>263</v>
      </c>
      <c r="C218" s="367"/>
      <c r="D218" s="75">
        <v>2020</v>
      </c>
      <c r="E218" s="176">
        <f>SUM(E219:E226)</f>
        <v>2891.4799999999996</v>
      </c>
      <c r="F218" s="176">
        <f>SUM(F219:F226)</f>
        <v>0</v>
      </c>
      <c r="G218" s="176">
        <f>H218+I218</f>
        <v>956</v>
      </c>
      <c r="H218" s="176">
        <f>SUM(H219:H226)</f>
        <v>0</v>
      </c>
      <c r="I218" s="176">
        <f>SUM(I219:I226)</f>
        <v>956</v>
      </c>
      <c r="J218" s="176">
        <f>SUM(J219:J226)</f>
        <v>1935.48</v>
      </c>
      <c r="K218" s="176">
        <f>SUM(K219:K226)</f>
        <v>0</v>
      </c>
      <c r="L218" s="152"/>
      <c r="M218" s="153"/>
    </row>
    <row r="219" spans="1:13" s="60" customFormat="1" ht="35.25" customHeight="1">
      <c r="A219" s="373"/>
      <c r="B219" s="368"/>
      <c r="C219" s="369"/>
      <c r="D219" s="97" t="s">
        <v>150</v>
      </c>
      <c r="E219" s="169">
        <f>F219+G219+J219+K219</f>
        <v>686.374</v>
      </c>
      <c r="F219" s="568"/>
      <c r="G219" s="522">
        <f aca="true" t="shared" si="34" ref="G219:G226">H219+I219</f>
        <v>0</v>
      </c>
      <c r="H219" s="122"/>
      <c r="I219" s="122">
        <v>0</v>
      </c>
      <c r="J219" s="122">
        <f>773.274-86.9</f>
        <v>686.374</v>
      </c>
      <c r="K219" s="568"/>
      <c r="L219" s="127" t="s">
        <v>271</v>
      </c>
      <c r="M219" s="375" t="s">
        <v>267</v>
      </c>
    </row>
    <row r="220" spans="1:13" s="60" customFormat="1" ht="36" customHeight="1">
      <c r="A220" s="373"/>
      <c r="B220" s="368"/>
      <c r="C220" s="369"/>
      <c r="D220" s="1" t="s">
        <v>150</v>
      </c>
      <c r="E220" s="169">
        <f aca="true" t="shared" si="35" ref="E220:E226">F220+G220+J220+K220</f>
        <v>668.4</v>
      </c>
      <c r="F220" s="21"/>
      <c r="G220" s="8">
        <f t="shared" si="34"/>
        <v>581.5</v>
      </c>
      <c r="H220" s="8"/>
      <c r="I220" s="8">
        <v>581.5</v>
      </c>
      <c r="J220" s="8">
        <v>86.9</v>
      </c>
      <c r="K220" s="21"/>
      <c r="L220" s="5" t="s">
        <v>269</v>
      </c>
      <c r="M220" s="313"/>
    </row>
    <row r="221" spans="1:13" s="60" customFormat="1" ht="31.5" customHeight="1">
      <c r="A221" s="373"/>
      <c r="B221" s="368"/>
      <c r="C221" s="369"/>
      <c r="D221" s="1" t="s">
        <v>149</v>
      </c>
      <c r="E221" s="169">
        <f t="shared" si="35"/>
        <v>958.006</v>
      </c>
      <c r="F221" s="21"/>
      <c r="G221" s="8">
        <f t="shared" si="34"/>
        <v>0</v>
      </c>
      <c r="H221" s="8"/>
      <c r="I221" s="8">
        <v>0</v>
      </c>
      <c r="J221" s="8">
        <f>1014.006-56</f>
        <v>958.006</v>
      </c>
      <c r="K221" s="21"/>
      <c r="L221" s="127" t="s">
        <v>270</v>
      </c>
      <c r="M221" s="313"/>
    </row>
    <row r="222" spans="1:13" s="60" customFormat="1" ht="31.5" customHeight="1">
      <c r="A222" s="373"/>
      <c r="B222" s="368"/>
      <c r="C222" s="369"/>
      <c r="D222" s="97" t="s">
        <v>149</v>
      </c>
      <c r="E222" s="169">
        <f t="shared" si="35"/>
        <v>430.5</v>
      </c>
      <c r="F222" s="533"/>
      <c r="G222" s="8">
        <f t="shared" si="34"/>
        <v>374.5</v>
      </c>
      <c r="H222" s="522"/>
      <c r="I222" s="522">
        <v>374.5</v>
      </c>
      <c r="J222" s="522">
        <v>56</v>
      </c>
      <c r="K222" s="533"/>
      <c r="L222" s="5" t="s">
        <v>272</v>
      </c>
      <c r="M222" s="313"/>
    </row>
    <row r="223" spans="1:13" s="60" customFormat="1" ht="31.5" customHeight="1">
      <c r="A223" s="373"/>
      <c r="B223" s="368"/>
      <c r="C223" s="369"/>
      <c r="D223" s="1" t="s">
        <v>186</v>
      </c>
      <c r="E223" s="169">
        <f t="shared" si="35"/>
        <v>0</v>
      </c>
      <c r="F223" s="21"/>
      <c r="G223" s="8">
        <f t="shared" si="34"/>
        <v>0</v>
      </c>
      <c r="H223" s="8"/>
      <c r="I223" s="8">
        <v>0</v>
      </c>
      <c r="J223" s="8">
        <v>0</v>
      </c>
      <c r="K223" s="21"/>
      <c r="L223" s="5" t="s">
        <v>264</v>
      </c>
      <c r="M223" s="313"/>
    </row>
    <row r="224" spans="1:13" s="60" customFormat="1" ht="31.5" customHeight="1">
      <c r="A224" s="373"/>
      <c r="B224" s="368"/>
      <c r="C224" s="369"/>
      <c r="D224" s="1" t="s">
        <v>182</v>
      </c>
      <c r="E224" s="169">
        <f t="shared" si="35"/>
        <v>0</v>
      </c>
      <c r="F224" s="21"/>
      <c r="G224" s="8">
        <f t="shared" si="34"/>
        <v>0</v>
      </c>
      <c r="H224" s="8"/>
      <c r="I224" s="8">
        <v>0</v>
      </c>
      <c r="J224" s="8">
        <v>0</v>
      </c>
      <c r="K224" s="21"/>
      <c r="L224" s="5" t="s">
        <v>266</v>
      </c>
      <c r="M224" s="313"/>
    </row>
    <row r="225" spans="1:13" s="60" customFormat="1" ht="36" customHeight="1">
      <c r="A225" s="373"/>
      <c r="B225" s="368"/>
      <c r="C225" s="369"/>
      <c r="D225" s="1" t="s">
        <v>189</v>
      </c>
      <c r="E225" s="169">
        <f t="shared" si="35"/>
        <v>0</v>
      </c>
      <c r="F225" s="21"/>
      <c r="G225" s="8">
        <f t="shared" si="34"/>
        <v>0</v>
      </c>
      <c r="H225" s="8"/>
      <c r="I225" s="8">
        <v>0</v>
      </c>
      <c r="J225" s="8">
        <v>0</v>
      </c>
      <c r="K225" s="21"/>
      <c r="L225" s="5" t="s">
        <v>273</v>
      </c>
      <c r="M225" s="313"/>
    </row>
    <row r="226" spans="1:13" s="60" customFormat="1" ht="31.5" customHeight="1" thickBot="1">
      <c r="A226" s="374"/>
      <c r="B226" s="370"/>
      <c r="C226" s="371"/>
      <c r="D226" s="95" t="s">
        <v>265</v>
      </c>
      <c r="E226" s="188">
        <f t="shared" si="35"/>
        <v>148.2</v>
      </c>
      <c r="F226" s="187"/>
      <c r="G226" s="188">
        <f t="shared" si="34"/>
        <v>0</v>
      </c>
      <c r="H226" s="188"/>
      <c r="I226" s="188">
        <v>0</v>
      </c>
      <c r="J226" s="188">
        <v>148.2</v>
      </c>
      <c r="K226" s="187"/>
      <c r="L226" s="94" t="s">
        <v>274</v>
      </c>
      <c r="M226" s="376"/>
    </row>
    <row r="227" spans="1:13" s="38" customFormat="1" ht="34.5" customHeight="1">
      <c r="A227" s="500"/>
      <c r="B227" s="450" t="s">
        <v>28</v>
      </c>
      <c r="C227" s="451"/>
      <c r="D227" s="177">
        <v>2017</v>
      </c>
      <c r="E227" s="183">
        <f aca="true" t="shared" si="36" ref="E227:K227">E57+E78+E84+E92+E99+E107+E112+E205+E213</f>
        <v>3516.342</v>
      </c>
      <c r="F227" s="183">
        <f t="shared" si="36"/>
        <v>0</v>
      </c>
      <c r="G227" s="183">
        <f t="shared" si="36"/>
        <v>205.2</v>
      </c>
      <c r="H227" s="183">
        <f t="shared" si="36"/>
        <v>0</v>
      </c>
      <c r="I227" s="183">
        <f t="shared" si="36"/>
        <v>205.2</v>
      </c>
      <c r="J227" s="183">
        <f t="shared" si="36"/>
        <v>3311.142</v>
      </c>
      <c r="K227" s="183">
        <f t="shared" si="36"/>
        <v>0</v>
      </c>
      <c r="L227" s="178"/>
      <c r="M227" s="360"/>
    </row>
    <row r="228" spans="1:13" s="38" customFormat="1" ht="32.25" customHeight="1">
      <c r="A228" s="501"/>
      <c r="B228" s="452"/>
      <c r="C228" s="453"/>
      <c r="D228" s="18">
        <v>2018</v>
      </c>
      <c r="E228" s="21">
        <f aca="true" t="shared" si="37" ref="E228:K228">E58+E79+E85+E93+E101+E108+E119+E206</f>
        <v>3449.7360099999996</v>
      </c>
      <c r="F228" s="21">
        <f t="shared" si="37"/>
        <v>0</v>
      </c>
      <c r="G228" s="21">
        <f t="shared" si="37"/>
        <v>162.2</v>
      </c>
      <c r="H228" s="21">
        <f t="shared" si="37"/>
        <v>0</v>
      </c>
      <c r="I228" s="21">
        <f t="shared" si="37"/>
        <v>162.2</v>
      </c>
      <c r="J228" s="21">
        <f t="shared" si="37"/>
        <v>3287.53601</v>
      </c>
      <c r="K228" s="21">
        <f t="shared" si="37"/>
        <v>0</v>
      </c>
      <c r="L228" s="179"/>
      <c r="M228" s="361"/>
    </row>
    <row r="229" spans="1:13" s="38" customFormat="1" ht="32.25" customHeight="1">
      <c r="A229" s="501"/>
      <c r="B229" s="452"/>
      <c r="C229" s="453"/>
      <c r="D229" s="18">
        <v>2019</v>
      </c>
      <c r="E229" s="21">
        <f aca="true" t="shared" si="38" ref="E229:K229">E59+E80+E87+E94+E102+E109+E127+E166+E207+E212+E214+E216+E217</f>
        <v>1852.0430000000001</v>
      </c>
      <c r="F229" s="21">
        <f t="shared" si="38"/>
        <v>0</v>
      </c>
      <c r="G229" s="21">
        <f t="shared" si="38"/>
        <v>531.1</v>
      </c>
      <c r="H229" s="21">
        <f t="shared" si="38"/>
        <v>0</v>
      </c>
      <c r="I229" s="21">
        <f t="shared" si="38"/>
        <v>531.1</v>
      </c>
      <c r="J229" s="21">
        <f t="shared" si="38"/>
        <v>1320.9430000000002</v>
      </c>
      <c r="K229" s="21">
        <f t="shared" si="38"/>
        <v>0</v>
      </c>
      <c r="L229" s="180"/>
      <c r="M229" s="361"/>
    </row>
    <row r="230" spans="1:13" s="38" customFormat="1" ht="32.25" customHeight="1">
      <c r="A230" s="501"/>
      <c r="B230" s="452"/>
      <c r="C230" s="453"/>
      <c r="D230" s="18">
        <v>2020</v>
      </c>
      <c r="E230" s="21">
        <f aca="true" t="shared" si="39" ref="E230:K230">E60+E81+E88+E95+E103+E110+E135+E173+E208+E45+E218+E54</f>
        <v>4781.339999999999</v>
      </c>
      <c r="F230" s="21">
        <f t="shared" si="39"/>
        <v>0</v>
      </c>
      <c r="G230" s="21">
        <f t="shared" si="39"/>
        <v>2236.2</v>
      </c>
      <c r="H230" s="21">
        <f t="shared" si="39"/>
        <v>1094.7</v>
      </c>
      <c r="I230" s="21">
        <f t="shared" si="39"/>
        <v>1141.5</v>
      </c>
      <c r="J230" s="21">
        <f t="shared" si="39"/>
        <v>2545.14</v>
      </c>
      <c r="K230" s="21">
        <f t="shared" si="39"/>
        <v>0</v>
      </c>
      <c r="L230" s="179"/>
      <c r="M230" s="361"/>
    </row>
    <row r="231" spans="1:13" s="38" customFormat="1" ht="32.25" customHeight="1">
      <c r="A231" s="501"/>
      <c r="B231" s="452"/>
      <c r="C231" s="453"/>
      <c r="D231" s="519">
        <v>2021</v>
      </c>
      <c r="E231" s="21">
        <f>E46+E55+E61+E82+E89+E96+E104+E111+E143+E181+E209</f>
        <v>6664.872</v>
      </c>
      <c r="F231" s="21">
        <f aca="true" t="shared" si="40" ref="F231:K231">F46+F55+F61+F82+F89+F96+F104+F111+F143+F181+F209</f>
        <v>0</v>
      </c>
      <c r="G231" s="21">
        <f t="shared" si="40"/>
        <v>6065.5</v>
      </c>
      <c r="H231" s="21">
        <f t="shared" si="40"/>
        <v>5854.1</v>
      </c>
      <c r="I231" s="21">
        <f t="shared" si="40"/>
        <v>211.4</v>
      </c>
      <c r="J231" s="21">
        <f t="shared" si="40"/>
        <v>599.3720000000001</v>
      </c>
      <c r="K231" s="21">
        <f t="shared" si="40"/>
        <v>0</v>
      </c>
      <c r="L231" s="179"/>
      <c r="M231" s="361"/>
    </row>
    <row r="232" spans="1:13" s="38" customFormat="1" ht="29.25" customHeight="1">
      <c r="A232" s="501"/>
      <c r="B232" s="452"/>
      <c r="C232" s="453"/>
      <c r="D232" s="519">
        <v>2022</v>
      </c>
      <c r="E232" s="21">
        <f aca="true" t="shared" si="41" ref="E232:J232">E47+E62+E83+E90+E97+E105+E151+E189+E210+E76</f>
        <v>574.7</v>
      </c>
      <c r="F232" s="21">
        <f t="shared" si="41"/>
        <v>0</v>
      </c>
      <c r="G232" s="21">
        <f t="shared" si="41"/>
        <v>500</v>
      </c>
      <c r="H232" s="21">
        <f t="shared" si="41"/>
        <v>445</v>
      </c>
      <c r="I232" s="21">
        <f t="shared" si="41"/>
        <v>55</v>
      </c>
      <c r="J232" s="21">
        <f t="shared" si="41"/>
        <v>74.7</v>
      </c>
      <c r="K232" s="21">
        <f>K47+K62+K83+K90+K97+K105+K151+K189+K210</f>
        <v>0</v>
      </c>
      <c r="L232" s="179"/>
      <c r="M232" s="361"/>
    </row>
    <row r="233" spans="1:13" s="38" customFormat="1" ht="29.25" customHeight="1" thickBot="1">
      <c r="A233" s="502"/>
      <c r="B233" s="454"/>
      <c r="C233" s="455"/>
      <c r="D233" s="520">
        <v>2023</v>
      </c>
      <c r="E233" s="187">
        <f aca="true" t="shared" si="42" ref="E233:K233">E211+E197+E159+E106+E98+E91+E77+E63+E48</f>
        <v>0</v>
      </c>
      <c r="F233" s="187">
        <f t="shared" si="42"/>
        <v>0</v>
      </c>
      <c r="G233" s="187">
        <f t="shared" si="42"/>
        <v>0</v>
      </c>
      <c r="H233" s="187">
        <f t="shared" si="42"/>
        <v>0</v>
      </c>
      <c r="I233" s="187">
        <f t="shared" si="42"/>
        <v>0</v>
      </c>
      <c r="J233" s="187">
        <f t="shared" si="42"/>
        <v>0</v>
      </c>
      <c r="K233" s="187">
        <f t="shared" si="42"/>
        <v>0</v>
      </c>
      <c r="L233" s="181"/>
      <c r="M233" s="362"/>
    </row>
    <row r="234" spans="1:13" s="38" customFormat="1" ht="29.25" customHeight="1">
      <c r="A234" s="357" t="s">
        <v>128</v>
      </c>
      <c r="B234" s="358"/>
      <c r="C234" s="358"/>
      <c r="D234" s="358"/>
      <c r="E234" s="358"/>
      <c r="F234" s="358"/>
      <c r="G234" s="358"/>
      <c r="H234" s="358"/>
      <c r="I234" s="358"/>
      <c r="J234" s="358"/>
      <c r="K234" s="358"/>
      <c r="L234" s="358"/>
      <c r="M234" s="359"/>
    </row>
    <row r="235" spans="1:13" s="38" customFormat="1" ht="43.5" customHeight="1">
      <c r="A235" s="363" t="s">
        <v>129</v>
      </c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5"/>
    </row>
    <row r="236" spans="1:13" s="38" customFormat="1" ht="106.5" customHeight="1">
      <c r="A236" s="363" t="s">
        <v>153</v>
      </c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5"/>
    </row>
    <row r="237" spans="1:13" s="38" customFormat="1" ht="27" customHeight="1">
      <c r="A237" s="363" t="s">
        <v>2</v>
      </c>
      <c r="B237" s="364"/>
      <c r="C237" s="364"/>
      <c r="D237" s="364"/>
      <c r="E237" s="364"/>
      <c r="F237" s="364"/>
      <c r="G237" s="364"/>
      <c r="H237" s="364"/>
      <c r="I237" s="364"/>
      <c r="J237" s="364"/>
      <c r="K237" s="364"/>
      <c r="L237" s="364"/>
      <c r="M237" s="365"/>
    </row>
    <row r="238" spans="1:13" s="38" customFormat="1" ht="37.5" customHeight="1">
      <c r="A238" s="296" t="s">
        <v>98</v>
      </c>
      <c r="B238" s="328" t="s">
        <v>145</v>
      </c>
      <c r="C238" s="7" t="s">
        <v>148</v>
      </c>
      <c r="D238" s="3">
        <v>2017</v>
      </c>
      <c r="E238" s="20">
        <f>F238+G238+J238+K238</f>
        <v>15500.856</v>
      </c>
      <c r="F238" s="586"/>
      <c r="G238" s="20">
        <f>H238+I238</f>
        <v>0</v>
      </c>
      <c r="H238" s="20"/>
      <c r="I238" s="20"/>
      <c r="J238" s="20">
        <f>J290+J291+J292+J293+J294+J296</f>
        <v>15500.856</v>
      </c>
      <c r="K238" s="586">
        <v>0</v>
      </c>
      <c r="L238" s="220" t="s">
        <v>34</v>
      </c>
      <c r="M238" s="291" t="s">
        <v>64</v>
      </c>
    </row>
    <row r="239" spans="1:13" s="38" customFormat="1" ht="37.5" customHeight="1">
      <c r="A239" s="377"/>
      <c r="B239" s="329"/>
      <c r="C239" s="12" t="s">
        <v>130</v>
      </c>
      <c r="D239" s="19"/>
      <c r="E239" s="20">
        <f>F239+G239+J239+K239</f>
        <v>10933.428</v>
      </c>
      <c r="F239" s="586"/>
      <c r="G239" s="20">
        <f>H239+I239</f>
        <v>0</v>
      </c>
      <c r="H239" s="20"/>
      <c r="I239" s="20"/>
      <c r="J239" s="20">
        <f>J295</f>
        <v>10933.428</v>
      </c>
      <c r="K239" s="586">
        <v>0</v>
      </c>
      <c r="L239" s="220" t="s">
        <v>7</v>
      </c>
      <c r="M239" s="291"/>
    </row>
    <row r="240" spans="1:13" s="38" customFormat="1" ht="37.5" customHeight="1">
      <c r="A240" s="377"/>
      <c r="B240" s="329"/>
      <c r="C240" s="7" t="s">
        <v>148</v>
      </c>
      <c r="D240" s="3">
        <v>2018</v>
      </c>
      <c r="E240" s="20">
        <f>F240+G240+J240+K240</f>
        <v>28543.359</v>
      </c>
      <c r="F240" s="20"/>
      <c r="G240" s="20">
        <f>H240+I240</f>
        <v>0</v>
      </c>
      <c r="H240" s="20">
        <v>0</v>
      </c>
      <c r="I240" s="20">
        <v>0</v>
      </c>
      <c r="J240" s="20">
        <f>SUM(J241:J254)</f>
        <v>28543.359</v>
      </c>
      <c r="K240" s="20">
        <v>0</v>
      </c>
      <c r="L240" s="220"/>
      <c r="M240" s="291"/>
    </row>
    <row r="241" spans="1:13" s="38" customFormat="1" ht="24.75" customHeight="1">
      <c r="A241" s="377"/>
      <c r="B241" s="329"/>
      <c r="C241" s="7" t="s">
        <v>40</v>
      </c>
      <c r="D241" s="3"/>
      <c r="E241" s="20"/>
      <c r="F241" s="586"/>
      <c r="G241" s="586">
        <f aca="true" t="shared" si="43" ref="G241:G255">H241+I241</f>
        <v>0</v>
      </c>
      <c r="H241" s="586"/>
      <c r="I241" s="586"/>
      <c r="J241" s="586">
        <f>105.997+1553.242+30.82212-90.152</f>
        <v>1599.90912</v>
      </c>
      <c r="K241" s="586">
        <v>0</v>
      </c>
      <c r="L241" s="380" t="s">
        <v>7</v>
      </c>
      <c r="M241" s="291"/>
    </row>
    <row r="242" spans="1:13" s="38" customFormat="1" ht="24.75" customHeight="1">
      <c r="A242" s="377"/>
      <c r="B242" s="329"/>
      <c r="C242" s="7" t="s">
        <v>106</v>
      </c>
      <c r="D242" s="3"/>
      <c r="E242" s="20"/>
      <c r="F242" s="586"/>
      <c r="G242" s="586">
        <f t="shared" si="43"/>
        <v>0</v>
      </c>
      <c r="H242" s="586"/>
      <c r="I242" s="586"/>
      <c r="J242" s="630">
        <f>2647.00046-137.31778-3.0355</f>
        <v>2506.6471800000004</v>
      </c>
      <c r="K242" s="586">
        <v>0</v>
      </c>
      <c r="L242" s="380"/>
      <c r="M242" s="291"/>
    </row>
    <row r="243" spans="1:13" s="38" customFormat="1" ht="24.75" customHeight="1">
      <c r="A243" s="377"/>
      <c r="B243" s="329"/>
      <c r="C243" s="7" t="s">
        <v>108</v>
      </c>
      <c r="D243" s="3"/>
      <c r="E243" s="20"/>
      <c r="F243" s="586"/>
      <c r="G243" s="586">
        <f t="shared" si="43"/>
        <v>0</v>
      </c>
      <c r="H243" s="586"/>
      <c r="I243" s="586"/>
      <c r="J243" s="586">
        <f>19000-4993.27603+73.22078+64.097-230.15863</f>
        <v>13913.883119999999</v>
      </c>
      <c r="K243" s="586">
        <v>0</v>
      </c>
      <c r="L243" s="380"/>
      <c r="M243" s="291"/>
    </row>
    <row r="244" spans="1:13" s="38" customFormat="1" ht="24.75" customHeight="1">
      <c r="A244" s="377"/>
      <c r="B244" s="329"/>
      <c r="C244" s="7" t="s">
        <v>41</v>
      </c>
      <c r="D244" s="3"/>
      <c r="E244" s="20"/>
      <c r="F244" s="586"/>
      <c r="G244" s="586">
        <f t="shared" si="43"/>
        <v>0</v>
      </c>
      <c r="H244" s="586"/>
      <c r="I244" s="586"/>
      <c r="J244" s="586">
        <f>620.082-142.882</f>
        <v>477.2</v>
      </c>
      <c r="K244" s="586">
        <v>0</v>
      </c>
      <c r="L244" s="380"/>
      <c r="M244" s="291"/>
    </row>
    <row r="245" spans="1:13" s="38" customFormat="1" ht="24.75" customHeight="1">
      <c r="A245" s="377"/>
      <c r="B245" s="329"/>
      <c r="C245" s="7" t="s">
        <v>42</v>
      </c>
      <c r="D245" s="3"/>
      <c r="E245" s="20"/>
      <c r="F245" s="586"/>
      <c r="G245" s="586">
        <f t="shared" si="43"/>
        <v>0</v>
      </c>
      <c r="H245" s="586"/>
      <c r="I245" s="586"/>
      <c r="J245" s="586">
        <f>4446.112-526.952+1537.10326-314.81263</f>
        <v>5141.450629999999</v>
      </c>
      <c r="K245" s="586">
        <v>0</v>
      </c>
      <c r="L245" s="380"/>
      <c r="M245" s="291"/>
    </row>
    <row r="246" spans="1:13" s="38" customFormat="1" ht="24.75" customHeight="1">
      <c r="A246" s="377"/>
      <c r="B246" s="329"/>
      <c r="C246" s="7" t="s">
        <v>43</v>
      </c>
      <c r="D246" s="3"/>
      <c r="E246" s="20"/>
      <c r="F246" s="586"/>
      <c r="G246" s="586">
        <f t="shared" si="43"/>
        <v>0</v>
      </c>
      <c r="H246" s="586"/>
      <c r="I246" s="586"/>
      <c r="J246" s="586">
        <f>115.226+847.899+0.168</f>
        <v>963.293</v>
      </c>
      <c r="K246" s="586">
        <v>0</v>
      </c>
      <c r="L246" s="380"/>
      <c r="M246" s="291"/>
    </row>
    <row r="247" spans="1:13" s="38" customFormat="1" ht="24.75" customHeight="1">
      <c r="A247" s="377"/>
      <c r="B247" s="329"/>
      <c r="C247" s="7" t="s">
        <v>40</v>
      </c>
      <c r="D247" s="3"/>
      <c r="E247" s="20"/>
      <c r="F247" s="586"/>
      <c r="G247" s="586">
        <f t="shared" si="43"/>
        <v>0</v>
      </c>
      <c r="H247" s="586"/>
      <c r="I247" s="586"/>
      <c r="J247" s="586">
        <f>357.7+36.69771</f>
        <v>394.39770999999996</v>
      </c>
      <c r="K247" s="586">
        <v>0</v>
      </c>
      <c r="L247" s="222" t="s">
        <v>40</v>
      </c>
      <c r="M247" s="291"/>
    </row>
    <row r="248" spans="1:13" s="38" customFormat="1" ht="24.75" customHeight="1">
      <c r="A248" s="377"/>
      <c r="B248" s="329"/>
      <c r="C248" s="7" t="s">
        <v>106</v>
      </c>
      <c r="D248" s="3"/>
      <c r="E248" s="20"/>
      <c r="F248" s="586"/>
      <c r="G248" s="586">
        <f t="shared" si="43"/>
        <v>0</v>
      </c>
      <c r="H248" s="586"/>
      <c r="I248" s="586"/>
      <c r="J248" s="586">
        <f>105.779+362.898-106.319</f>
        <v>362.358</v>
      </c>
      <c r="K248" s="586">
        <v>0</v>
      </c>
      <c r="L248" s="222" t="s">
        <v>106</v>
      </c>
      <c r="M248" s="291"/>
    </row>
    <row r="249" spans="1:13" s="38" customFormat="1" ht="24.75" customHeight="1">
      <c r="A249" s="377"/>
      <c r="B249" s="329"/>
      <c r="C249" s="7" t="s">
        <v>41</v>
      </c>
      <c r="D249" s="3"/>
      <c r="E249" s="20"/>
      <c r="F249" s="586"/>
      <c r="G249" s="586">
        <f t="shared" si="43"/>
        <v>0</v>
      </c>
      <c r="H249" s="586"/>
      <c r="I249" s="586"/>
      <c r="J249" s="586">
        <v>0</v>
      </c>
      <c r="K249" s="586">
        <v>0</v>
      </c>
      <c r="L249" s="220"/>
      <c r="M249" s="291"/>
    </row>
    <row r="250" spans="1:13" s="38" customFormat="1" ht="24.75" customHeight="1">
      <c r="A250" s="377"/>
      <c r="B250" s="329"/>
      <c r="C250" s="7" t="s">
        <v>42</v>
      </c>
      <c r="D250" s="3"/>
      <c r="E250" s="20"/>
      <c r="F250" s="586"/>
      <c r="G250" s="586">
        <f t="shared" si="43"/>
        <v>0</v>
      </c>
      <c r="H250" s="586"/>
      <c r="I250" s="586"/>
      <c r="J250" s="586">
        <f>196.448+30+275.818-26.184</f>
        <v>476.08199999999994</v>
      </c>
      <c r="K250" s="586">
        <v>0</v>
      </c>
      <c r="L250" s="220" t="s">
        <v>45</v>
      </c>
      <c r="M250" s="291"/>
    </row>
    <row r="251" spans="1:13" s="38" customFormat="1" ht="24.75" customHeight="1">
      <c r="A251" s="377"/>
      <c r="B251" s="329"/>
      <c r="C251" s="7" t="s">
        <v>43</v>
      </c>
      <c r="D251" s="3"/>
      <c r="E251" s="20"/>
      <c r="F251" s="586"/>
      <c r="G251" s="586">
        <f t="shared" si="43"/>
        <v>0</v>
      </c>
      <c r="H251" s="586"/>
      <c r="I251" s="586"/>
      <c r="J251" s="586">
        <f>624.103+100+900+26.6</f>
        <v>1650.703</v>
      </c>
      <c r="K251" s="586">
        <v>0</v>
      </c>
      <c r="L251" s="220" t="s">
        <v>46</v>
      </c>
      <c r="M251" s="291"/>
    </row>
    <row r="252" spans="1:13" s="38" customFormat="1" ht="24.75" customHeight="1">
      <c r="A252" s="377"/>
      <c r="B252" s="329"/>
      <c r="C252" s="7"/>
      <c r="D252" s="3"/>
      <c r="E252" s="20"/>
      <c r="F252" s="586"/>
      <c r="G252" s="586">
        <f>H252+I252</f>
        <v>0</v>
      </c>
      <c r="H252" s="586"/>
      <c r="I252" s="586"/>
      <c r="J252" s="586">
        <v>0</v>
      </c>
      <c r="K252" s="586">
        <v>0</v>
      </c>
      <c r="L252" s="220" t="s">
        <v>47</v>
      </c>
      <c r="M252" s="291"/>
    </row>
    <row r="253" spans="1:13" s="38" customFormat="1" ht="24.75" customHeight="1">
      <c r="A253" s="377"/>
      <c r="B253" s="329"/>
      <c r="C253" s="7" t="s">
        <v>44</v>
      </c>
      <c r="D253" s="3"/>
      <c r="E253" s="20"/>
      <c r="F253" s="586"/>
      <c r="G253" s="586">
        <f t="shared" si="43"/>
        <v>0</v>
      </c>
      <c r="H253" s="586"/>
      <c r="I253" s="586"/>
      <c r="J253" s="586">
        <f>491.117-443.682+838.97984-0.0006</f>
        <v>886.41424</v>
      </c>
      <c r="K253" s="586">
        <v>0</v>
      </c>
      <c r="L253" s="220" t="s">
        <v>47</v>
      </c>
      <c r="M253" s="291"/>
    </row>
    <row r="254" spans="1:13" s="38" customFormat="1" ht="24.75" customHeight="1">
      <c r="A254" s="377"/>
      <c r="B254" s="329"/>
      <c r="C254" s="7" t="s">
        <v>44</v>
      </c>
      <c r="D254" s="3"/>
      <c r="E254" s="20"/>
      <c r="F254" s="586"/>
      <c r="G254" s="586">
        <f t="shared" si="43"/>
        <v>0</v>
      </c>
      <c r="H254" s="586"/>
      <c r="I254" s="586"/>
      <c r="J254" s="631">
        <f>147.021+24</f>
        <v>171.021</v>
      </c>
      <c r="K254" s="586">
        <v>0</v>
      </c>
      <c r="L254" s="220" t="s">
        <v>110</v>
      </c>
      <c r="M254" s="291"/>
    </row>
    <row r="255" spans="1:13" s="38" customFormat="1" ht="24.75" customHeight="1" thickBot="1">
      <c r="A255" s="377"/>
      <c r="B255" s="329"/>
      <c r="C255" s="66"/>
      <c r="D255" s="68"/>
      <c r="E255" s="632"/>
      <c r="F255" s="633"/>
      <c r="G255" s="633">
        <f t="shared" si="43"/>
        <v>0</v>
      </c>
      <c r="H255" s="633"/>
      <c r="I255" s="633"/>
      <c r="J255" s="634">
        <v>0</v>
      </c>
      <c r="K255" s="633">
        <v>0</v>
      </c>
      <c r="L255" s="220"/>
      <c r="M255" s="291"/>
    </row>
    <row r="256" spans="1:13" s="38" customFormat="1" ht="24.75" customHeight="1" thickBot="1">
      <c r="A256" s="377"/>
      <c r="B256" s="293"/>
      <c r="C256" s="71"/>
      <c r="D256" s="72">
        <v>2019</v>
      </c>
      <c r="E256" s="635">
        <f>F256+G256+J256+K256</f>
        <v>25876.25605</v>
      </c>
      <c r="F256" s="635">
        <f aca="true" t="shared" si="44" ref="F256:K256">SUM(F257:F270)</f>
        <v>0</v>
      </c>
      <c r="G256" s="635">
        <f t="shared" si="44"/>
        <v>0</v>
      </c>
      <c r="H256" s="635">
        <f t="shared" si="44"/>
        <v>0</v>
      </c>
      <c r="I256" s="635">
        <f t="shared" si="44"/>
        <v>0</v>
      </c>
      <c r="J256" s="635">
        <f t="shared" si="44"/>
        <v>25876.25605</v>
      </c>
      <c r="K256" s="636">
        <f t="shared" si="44"/>
        <v>0</v>
      </c>
      <c r="L256" s="221" t="s">
        <v>7</v>
      </c>
      <c r="M256" s="291"/>
    </row>
    <row r="257" spans="1:13" s="38" customFormat="1" ht="24.75" customHeight="1">
      <c r="A257" s="377"/>
      <c r="B257" s="329"/>
      <c r="C257" s="67" t="s">
        <v>125</v>
      </c>
      <c r="D257" s="69"/>
      <c r="E257" s="637">
        <f aca="true" t="shared" si="45" ref="E257:E286">F257+G257+J257+K257</f>
        <v>1159.92432</v>
      </c>
      <c r="F257" s="637"/>
      <c r="G257" s="637">
        <f aca="true" t="shared" si="46" ref="G257:G286">H257+I257</f>
        <v>0</v>
      </c>
      <c r="H257" s="637"/>
      <c r="I257" s="638"/>
      <c r="J257" s="637">
        <f>1350-190.07568</f>
        <v>1159.92432</v>
      </c>
      <c r="K257" s="637">
        <v>0</v>
      </c>
      <c r="L257" s="215" t="s">
        <v>7</v>
      </c>
      <c r="M257" s="291"/>
    </row>
    <row r="258" spans="1:13" s="38" customFormat="1" ht="24.75" customHeight="1">
      <c r="A258" s="377"/>
      <c r="B258" s="329"/>
      <c r="C258" s="7" t="s">
        <v>126</v>
      </c>
      <c r="D258" s="3"/>
      <c r="E258" s="586">
        <f t="shared" si="45"/>
        <v>17673.222</v>
      </c>
      <c r="F258" s="586"/>
      <c r="G258" s="586">
        <f t="shared" si="46"/>
        <v>0</v>
      </c>
      <c r="H258" s="586"/>
      <c r="I258" s="20"/>
      <c r="J258" s="586">
        <f>17794.4248-121.2028</f>
        <v>17673.222</v>
      </c>
      <c r="K258" s="586"/>
      <c r="L258" s="215" t="s">
        <v>7</v>
      </c>
      <c r="M258" s="291"/>
    </row>
    <row r="259" spans="1:13" s="38" customFormat="1" ht="24.75" customHeight="1">
      <c r="A259" s="377"/>
      <c r="B259" s="329"/>
      <c r="C259" s="7" t="s">
        <v>127</v>
      </c>
      <c r="D259" s="3"/>
      <c r="E259" s="586">
        <f t="shared" si="45"/>
        <v>0</v>
      </c>
      <c r="F259" s="586"/>
      <c r="G259" s="586">
        <f t="shared" si="46"/>
        <v>0</v>
      </c>
      <c r="H259" s="586"/>
      <c r="I259" s="20"/>
      <c r="J259" s="586">
        <f>500-159.431-340.569</f>
        <v>0</v>
      </c>
      <c r="K259" s="586"/>
      <c r="L259" s="215" t="s">
        <v>7</v>
      </c>
      <c r="M259" s="291"/>
    </row>
    <row r="260" spans="1:13" s="38" customFormat="1" ht="24.75" customHeight="1">
      <c r="A260" s="377"/>
      <c r="B260" s="329"/>
      <c r="C260" s="7" t="s">
        <v>105</v>
      </c>
      <c r="D260" s="3"/>
      <c r="E260" s="586">
        <f t="shared" si="45"/>
        <v>2109.1145</v>
      </c>
      <c r="F260" s="586"/>
      <c r="G260" s="586">
        <f t="shared" si="46"/>
        <v>0</v>
      </c>
      <c r="H260" s="586"/>
      <c r="I260" s="586">
        <v>0</v>
      </c>
      <c r="J260" s="586">
        <f>1797.73863+313.37887-2.003</f>
        <v>2109.1145</v>
      </c>
      <c r="K260" s="586"/>
      <c r="L260" s="215" t="s">
        <v>7</v>
      </c>
      <c r="M260" s="291"/>
    </row>
    <row r="261" spans="1:13" s="38" customFormat="1" ht="24.75" customHeight="1">
      <c r="A261" s="377"/>
      <c r="B261" s="329"/>
      <c r="C261" s="7" t="s">
        <v>105</v>
      </c>
      <c r="D261" s="3"/>
      <c r="E261" s="586">
        <f t="shared" si="45"/>
        <v>0</v>
      </c>
      <c r="F261" s="586"/>
      <c r="G261" s="586">
        <f t="shared" si="46"/>
        <v>0</v>
      </c>
      <c r="H261" s="586"/>
      <c r="I261" s="586"/>
      <c r="J261" s="586">
        <v>0</v>
      </c>
      <c r="K261" s="586"/>
      <c r="L261" s="215" t="s">
        <v>203</v>
      </c>
      <c r="M261" s="291"/>
    </row>
    <row r="262" spans="1:13" s="38" customFormat="1" ht="24.75" customHeight="1">
      <c r="A262" s="377"/>
      <c r="B262" s="329"/>
      <c r="C262" s="7" t="s">
        <v>46</v>
      </c>
      <c r="D262" s="3"/>
      <c r="E262" s="586">
        <f t="shared" si="45"/>
        <v>1830.5851200000002</v>
      </c>
      <c r="F262" s="586"/>
      <c r="G262" s="586">
        <f t="shared" si="46"/>
        <v>0</v>
      </c>
      <c r="H262" s="586"/>
      <c r="I262" s="20"/>
      <c r="J262" s="586">
        <f>1841.35064-10.76552</f>
        <v>1830.5851200000002</v>
      </c>
      <c r="K262" s="586"/>
      <c r="L262" s="215" t="s">
        <v>7</v>
      </c>
      <c r="M262" s="291"/>
    </row>
    <row r="263" spans="1:13" s="38" customFormat="1" ht="24.75" customHeight="1">
      <c r="A263" s="377"/>
      <c r="B263" s="329"/>
      <c r="C263" s="7" t="s">
        <v>204</v>
      </c>
      <c r="D263" s="3"/>
      <c r="E263" s="586">
        <f t="shared" si="45"/>
        <v>0</v>
      </c>
      <c r="F263" s="586"/>
      <c r="G263" s="586">
        <f t="shared" si="46"/>
        <v>0</v>
      </c>
      <c r="H263" s="586"/>
      <c r="I263" s="20"/>
      <c r="J263" s="586">
        <v>0</v>
      </c>
      <c r="K263" s="586"/>
      <c r="L263" s="215" t="s">
        <v>7</v>
      </c>
      <c r="M263" s="291"/>
    </row>
    <row r="264" spans="1:13" s="38" customFormat="1" ht="24.75" customHeight="1">
      <c r="A264" s="377"/>
      <c r="B264" s="329"/>
      <c r="C264" s="7" t="s">
        <v>125</v>
      </c>
      <c r="D264" s="3"/>
      <c r="E264" s="586">
        <f t="shared" si="45"/>
        <v>200</v>
      </c>
      <c r="F264" s="586"/>
      <c r="G264" s="586">
        <f t="shared" si="46"/>
        <v>0</v>
      </c>
      <c r="H264" s="586"/>
      <c r="I264" s="20"/>
      <c r="J264" s="586">
        <v>200</v>
      </c>
      <c r="K264" s="586"/>
      <c r="L264" s="215" t="s">
        <v>125</v>
      </c>
      <c r="M264" s="291"/>
    </row>
    <row r="265" spans="1:13" s="38" customFormat="1" ht="24.75" customHeight="1">
      <c r="A265" s="377"/>
      <c r="B265" s="329"/>
      <c r="C265" s="7" t="s">
        <v>126</v>
      </c>
      <c r="D265" s="3"/>
      <c r="E265" s="586">
        <f>F265+G265+J265+K265</f>
        <v>262.6042</v>
      </c>
      <c r="F265" s="586"/>
      <c r="G265" s="586">
        <f>H265+I265</f>
        <v>0</v>
      </c>
      <c r="H265" s="586"/>
      <c r="I265" s="20"/>
      <c r="J265" s="586">
        <f>340.773-78.1688</f>
        <v>262.6042</v>
      </c>
      <c r="K265" s="586"/>
      <c r="L265" s="215" t="s">
        <v>126</v>
      </c>
      <c r="M265" s="291"/>
    </row>
    <row r="266" spans="1:13" s="38" customFormat="1" ht="24.75" customHeight="1">
      <c r="A266" s="377"/>
      <c r="B266" s="329"/>
      <c r="C266" s="7" t="s">
        <v>127</v>
      </c>
      <c r="D266" s="3"/>
      <c r="E266" s="586">
        <f t="shared" si="45"/>
        <v>277.714</v>
      </c>
      <c r="F266" s="586"/>
      <c r="G266" s="586">
        <f t="shared" si="46"/>
        <v>0</v>
      </c>
      <c r="H266" s="586"/>
      <c r="I266" s="20"/>
      <c r="J266" s="586">
        <f>159.431+118.283</f>
        <v>277.714</v>
      </c>
      <c r="K266" s="586"/>
      <c r="L266" s="215" t="s">
        <v>127</v>
      </c>
      <c r="M266" s="291"/>
    </row>
    <row r="267" spans="1:13" s="38" customFormat="1" ht="24.75" customHeight="1">
      <c r="A267" s="377"/>
      <c r="B267" s="329"/>
      <c r="C267" s="7" t="s">
        <v>105</v>
      </c>
      <c r="D267" s="3"/>
      <c r="E267" s="586">
        <f t="shared" si="45"/>
        <v>1940.84825</v>
      </c>
      <c r="F267" s="586"/>
      <c r="G267" s="586">
        <f t="shared" si="46"/>
        <v>0</v>
      </c>
      <c r="H267" s="586"/>
      <c r="I267" s="20"/>
      <c r="J267" s="586">
        <f>2430.61771-489.76946</f>
        <v>1940.84825</v>
      </c>
      <c r="K267" s="586"/>
      <c r="L267" s="215" t="s">
        <v>150</v>
      </c>
      <c r="M267" s="291"/>
    </row>
    <row r="268" spans="1:13" s="38" customFormat="1" ht="24.75" customHeight="1">
      <c r="A268" s="377"/>
      <c r="B268" s="329"/>
      <c r="C268" s="7" t="s">
        <v>46</v>
      </c>
      <c r="D268" s="3"/>
      <c r="E268" s="586">
        <f t="shared" si="45"/>
        <v>422.24366</v>
      </c>
      <c r="F268" s="586"/>
      <c r="G268" s="586">
        <f t="shared" si="46"/>
        <v>0</v>
      </c>
      <c r="H268" s="586"/>
      <c r="I268" s="20"/>
      <c r="J268" s="586">
        <f>301.36966+120.874</f>
        <v>422.24366</v>
      </c>
      <c r="K268" s="586"/>
      <c r="L268" s="215" t="s">
        <v>149</v>
      </c>
      <c r="M268" s="291"/>
    </row>
    <row r="269" spans="1:13" s="38" customFormat="1" ht="24.75" customHeight="1">
      <c r="A269" s="377"/>
      <c r="B269" s="329"/>
      <c r="C269" s="7"/>
      <c r="D269" s="3"/>
      <c r="E269" s="586">
        <f t="shared" si="45"/>
        <v>0</v>
      </c>
      <c r="F269" s="586"/>
      <c r="G269" s="586">
        <f t="shared" si="46"/>
        <v>0</v>
      </c>
      <c r="H269" s="586"/>
      <c r="I269" s="20"/>
      <c r="J269" s="586">
        <v>0</v>
      </c>
      <c r="K269" s="586"/>
      <c r="L269" s="36"/>
      <c r="M269" s="291"/>
    </row>
    <row r="270" spans="1:13" s="38" customFormat="1" ht="24.75" customHeight="1" thickBot="1">
      <c r="A270" s="377"/>
      <c r="B270" s="379"/>
      <c r="C270" s="7"/>
      <c r="D270" s="68"/>
      <c r="E270" s="633">
        <f t="shared" si="45"/>
        <v>0</v>
      </c>
      <c r="F270" s="633"/>
      <c r="G270" s="633">
        <f t="shared" si="46"/>
        <v>0</v>
      </c>
      <c r="H270" s="633"/>
      <c r="I270" s="632"/>
      <c r="J270" s="633">
        <v>0</v>
      </c>
      <c r="K270" s="633"/>
      <c r="L270" s="36"/>
      <c r="M270" s="291"/>
    </row>
    <row r="271" spans="1:13" s="38" customFormat="1" ht="30" customHeight="1" thickBot="1">
      <c r="A271" s="377"/>
      <c r="B271" s="273" t="s">
        <v>145</v>
      </c>
      <c r="C271" s="73"/>
      <c r="D271" s="75">
        <v>2020</v>
      </c>
      <c r="E271" s="635">
        <f aca="true" t="shared" si="47" ref="E271:J271">SUM(E272:E280)</f>
        <v>16055.751890000001</v>
      </c>
      <c r="F271" s="635">
        <f t="shared" si="47"/>
        <v>0</v>
      </c>
      <c r="G271" s="635">
        <f t="shared" si="47"/>
        <v>0</v>
      </c>
      <c r="H271" s="635">
        <f t="shared" si="47"/>
        <v>0</v>
      </c>
      <c r="I271" s="635">
        <f t="shared" si="47"/>
        <v>0</v>
      </c>
      <c r="J271" s="635">
        <f t="shared" si="47"/>
        <v>16055.751890000001</v>
      </c>
      <c r="K271" s="635">
        <f>SUM(K272:K279)</f>
        <v>0</v>
      </c>
      <c r="L271" s="74"/>
      <c r="M271" s="291"/>
    </row>
    <row r="272" spans="1:13" s="38" customFormat="1" ht="30" customHeight="1">
      <c r="A272" s="377"/>
      <c r="B272" s="274"/>
      <c r="C272" s="7" t="s">
        <v>126</v>
      </c>
      <c r="D272" s="70"/>
      <c r="E272" s="567">
        <f t="shared" si="45"/>
        <v>7244.213500000001</v>
      </c>
      <c r="F272" s="567"/>
      <c r="G272" s="567">
        <f aca="true" t="shared" si="48" ref="G272:G280">H272+I272</f>
        <v>0</v>
      </c>
      <c r="H272" s="567"/>
      <c r="I272" s="569"/>
      <c r="J272" s="567">
        <f>11000-3806.3995+50.613</f>
        <v>7244.213500000001</v>
      </c>
      <c r="K272" s="567"/>
      <c r="L272" s="215" t="s">
        <v>7</v>
      </c>
      <c r="M272" s="291"/>
    </row>
    <row r="273" spans="1:13" s="38" customFormat="1" ht="30" customHeight="1">
      <c r="A273" s="377"/>
      <c r="B273" s="274"/>
      <c r="C273" s="73" t="s">
        <v>105</v>
      </c>
      <c r="D273" s="3"/>
      <c r="E273" s="586">
        <f t="shared" si="45"/>
        <v>3323.71263</v>
      </c>
      <c r="F273" s="586"/>
      <c r="G273" s="586">
        <f t="shared" si="48"/>
        <v>0</v>
      </c>
      <c r="H273" s="586"/>
      <c r="I273" s="20"/>
      <c r="J273" s="586">
        <f>7142.742-3660.764-307.2291+148.96373</f>
        <v>3323.71263</v>
      </c>
      <c r="K273" s="586"/>
      <c r="L273" s="216" t="s">
        <v>248</v>
      </c>
      <c r="M273" s="291"/>
    </row>
    <row r="274" spans="1:13" s="38" customFormat="1" ht="30" customHeight="1">
      <c r="A274" s="377"/>
      <c r="B274" s="274"/>
      <c r="C274" s="73" t="s">
        <v>44</v>
      </c>
      <c r="D274" s="3"/>
      <c r="E274" s="586">
        <f t="shared" si="45"/>
        <v>1525.96188</v>
      </c>
      <c r="F274" s="586"/>
      <c r="G274" s="586">
        <f t="shared" si="48"/>
        <v>0</v>
      </c>
      <c r="H274" s="586"/>
      <c r="I274" s="20"/>
      <c r="J274" s="586">
        <f>2400-794.205-3.89412-75.939</f>
        <v>1525.96188</v>
      </c>
      <c r="K274" s="586"/>
      <c r="L274" s="216" t="s">
        <v>248</v>
      </c>
      <c r="M274" s="291"/>
    </row>
    <row r="275" spans="1:13" s="38" customFormat="1" ht="30" customHeight="1">
      <c r="A275" s="377"/>
      <c r="B275" s="274"/>
      <c r="C275" s="73" t="s">
        <v>46</v>
      </c>
      <c r="D275" s="68"/>
      <c r="E275" s="586">
        <f t="shared" si="45"/>
        <v>927.09288</v>
      </c>
      <c r="F275" s="633"/>
      <c r="G275" s="586">
        <f t="shared" si="48"/>
        <v>0</v>
      </c>
      <c r="H275" s="633"/>
      <c r="I275" s="632"/>
      <c r="J275" s="633">
        <f>1065.624-138.53112</f>
        <v>927.09288</v>
      </c>
      <c r="K275" s="633"/>
      <c r="L275" s="216" t="s">
        <v>47</v>
      </c>
      <c r="M275" s="291"/>
    </row>
    <row r="276" spans="1:13" s="38" customFormat="1" ht="30" customHeight="1">
      <c r="A276" s="377"/>
      <c r="B276" s="274"/>
      <c r="C276" s="73" t="s">
        <v>105</v>
      </c>
      <c r="D276" s="68"/>
      <c r="E276" s="586">
        <f t="shared" si="45"/>
        <v>50.313</v>
      </c>
      <c r="F276" s="633"/>
      <c r="G276" s="586">
        <f t="shared" si="48"/>
        <v>0</v>
      </c>
      <c r="H276" s="633"/>
      <c r="I276" s="632"/>
      <c r="J276" s="633">
        <f>100-49.687</f>
        <v>50.313</v>
      </c>
      <c r="K276" s="633"/>
      <c r="L276" s="216" t="s">
        <v>105</v>
      </c>
      <c r="M276" s="291"/>
    </row>
    <row r="277" spans="1:13" s="38" customFormat="1" ht="30" customHeight="1">
      <c r="A277" s="377"/>
      <c r="B277" s="274"/>
      <c r="C277" s="73" t="s">
        <v>46</v>
      </c>
      <c r="D277" s="68"/>
      <c r="E277" s="586">
        <f t="shared" si="45"/>
        <v>2169.525</v>
      </c>
      <c r="F277" s="633"/>
      <c r="G277" s="586">
        <f t="shared" si="48"/>
        <v>0</v>
      </c>
      <c r="H277" s="633"/>
      <c r="I277" s="632"/>
      <c r="J277" s="633">
        <f>1699.525+470</f>
        <v>2169.525</v>
      </c>
      <c r="K277" s="633"/>
      <c r="L277" s="216" t="s">
        <v>46</v>
      </c>
      <c r="M277" s="291"/>
    </row>
    <row r="278" spans="1:13" s="38" customFormat="1" ht="30" customHeight="1">
      <c r="A278" s="377"/>
      <c r="B278" s="274"/>
      <c r="C278" s="73" t="s">
        <v>125</v>
      </c>
      <c r="D278" s="68"/>
      <c r="E278" s="586">
        <f t="shared" si="45"/>
        <v>342.134</v>
      </c>
      <c r="F278" s="633"/>
      <c r="G278" s="586">
        <f t="shared" si="48"/>
        <v>0</v>
      </c>
      <c r="H278" s="633"/>
      <c r="I278" s="632"/>
      <c r="J278" s="633">
        <v>342.134</v>
      </c>
      <c r="K278" s="633"/>
      <c r="L278" s="216" t="s">
        <v>125</v>
      </c>
      <c r="M278" s="291"/>
    </row>
    <row r="279" spans="1:13" s="38" customFormat="1" ht="30" customHeight="1">
      <c r="A279" s="377"/>
      <c r="B279" s="274"/>
      <c r="C279" s="664" t="s">
        <v>126</v>
      </c>
      <c r="D279" s="68"/>
      <c r="E279" s="633">
        <f t="shared" si="45"/>
        <v>48.53</v>
      </c>
      <c r="F279" s="633"/>
      <c r="G279" s="633">
        <f t="shared" si="48"/>
        <v>0</v>
      </c>
      <c r="H279" s="633"/>
      <c r="I279" s="632"/>
      <c r="J279" s="633">
        <f>66.985-18.455</f>
        <v>48.53</v>
      </c>
      <c r="K279" s="633"/>
      <c r="L279" s="217" t="s">
        <v>126</v>
      </c>
      <c r="M279" s="291"/>
    </row>
    <row r="280" spans="1:13" s="38" customFormat="1" ht="30" customHeight="1" thickBot="1">
      <c r="A280" s="377"/>
      <c r="B280" s="275"/>
      <c r="C280" s="66" t="s">
        <v>44</v>
      </c>
      <c r="D280" s="68"/>
      <c r="E280" s="633">
        <f t="shared" si="45"/>
        <v>424.269</v>
      </c>
      <c r="F280" s="633"/>
      <c r="G280" s="633">
        <f t="shared" si="48"/>
        <v>0</v>
      </c>
      <c r="H280" s="633"/>
      <c r="I280" s="632"/>
      <c r="J280" s="633">
        <f>495.342-71.073</f>
        <v>424.269</v>
      </c>
      <c r="K280" s="633"/>
      <c r="L280" s="218" t="s">
        <v>44</v>
      </c>
      <c r="M280" s="291"/>
    </row>
    <row r="281" spans="1:13" s="38" customFormat="1" ht="24.75" customHeight="1" thickBot="1">
      <c r="A281" s="377"/>
      <c r="B281" s="292" t="s">
        <v>145</v>
      </c>
      <c r="C281" s="144"/>
      <c r="D281" s="75">
        <v>2021</v>
      </c>
      <c r="E281" s="635">
        <f aca="true" t="shared" si="49" ref="E281:K281">E282</f>
        <v>0</v>
      </c>
      <c r="F281" s="635">
        <f t="shared" si="49"/>
        <v>0</v>
      </c>
      <c r="G281" s="635">
        <f t="shared" si="49"/>
        <v>0</v>
      </c>
      <c r="H281" s="635">
        <f t="shared" si="49"/>
        <v>0</v>
      </c>
      <c r="I281" s="635">
        <f t="shared" si="49"/>
        <v>0</v>
      </c>
      <c r="J281" s="635">
        <f t="shared" si="49"/>
        <v>0</v>
      </c>
      <c r="K281" s="636">
        <f t="shared" si="49"/>
        <v>0</v>
      </c>
      <c r="L281" s="219"/>
      <c r="M281" s="291"/>
    </row>
    <row r="282" spans="1:13" s="38" customFormat="1" ht="29.25" customHeight="1" thickBot="1">
      <c r="A282" s="377"/>
      <c r="B282" s="379"/>
      <c r="C282" s="155" t="s">
        <v>126</v>
      </c>
      <c r="D282" s="70"/>
      <c r="E282" s="567">
        <f t="shared" si="45"/>
        <v>0</v>
      </c>
      <c r="F282" s="567"/>
      <c r="G282" s="567"/>
      <c r="H282" s="567"/>
      <c r="I282" s="569"/>
      <c r="J282" s="567">
        <v>0</v>
      </c>
      <c r="K282" s="567"/>
      <c r="L282" s="215" t="s">
        <v>7</v>
      </c>
      <c r="M282" s="291"/>
    </row>
    <row r="283" spans="1:13" s="38" customFormat="1" ht="33" customHeight="1" thickBot="1">
      <c r="A283" s="377"/>
      <c r="B283" s="292" t="s">
        <v>145</v>
      </c>
      <c r="C283" s="130"/>
      <c r="D283" s="75">
        <v>2022</v>
      </c>
      <c r="E283" s="635">
        <f aca="true" t="shared" si="50" ref="E283:K283">E284</f>
        <v>0</v>
      </c>
      <c r="F283" s="635">
        <f t="shared" si="50"/>
        <v>0</v>
      </c>
      <c r="G283" s="635">
        <f t="shared" si="50"/>
        <v>0</v>
      </c>
      <c r="H283" s="635">
        <f t="shared" si="50"/>
        <v>0</v>
      </c>
      <c r="I283" s="635">
        <f t="shared" si="50"/>
        <v>0</v>
      </c>
      <c r="J283" s="635">
        <f t="shared" si="50"/>
        <v>0</v>
      </c>
      <c r="K283" s="636">
        <f t="shared" si="50"/>
        <v>0</v>
      </c>
      <c r="L283" s="216"/>
      <c r="M283" s="291"/>
    </row>
    <row r="284" spans="1:13" s="38" customFormat="1" ht="24.75" customHeight="1">
      <c r="A284" s="377"/>
      <c r="B284" s="379"/>
      <c r="C284" s="67" t="s">
        <v>126</v>
      </c>
      <c r="D284" s="69">
        <v>2022</v>
      </c>
      <c r="E284" s="637">
        <f t="shared" si="45"/>
        <v>0</v>
      </c>
      <c r="F284" s="637"/>
      <c r="G284" s="586">
        <f t="shared" si="46"/>
        <v>0</v>
      </c>
      <c r="H284" s="637"/>
      <c r="I284" s="638"/>
      <c r="J284" s="637">
        <v>0</v>
      </c>
      <c r="K284" s="637"/>
      <c r="L284" s="215" t="s">
        <v>7</v>
      </c>
      <c r="M284" s="291"/>
    </row>
    <row r="285" spans="1:13" s="38" customFormat="1" ht="30" customHeight="1">
      <c r="A285" s="377"/>
      <c r="B285" s="37"/>
      <c r="C285" s="7" t="s">
        <v>110</v>
      </c>
      <c r="D285" s="3">
        <v>2019</v>
      </c>
      <c r="E285" s="586">
        <f t="shared" si="45"/>
        <v>0</v>
      </c>
      <c r="F285" s="586"/>
      <c r="G285" s="586">
        <f t="shared" si="46"/>
        <v>0</v>
      </c>
      <c r="H285" s="586"/>
      <c r="I285" s="586"/>
      <c r="J285" s="20">
        <v>0</v>
      </c>
      <c r="K285" s="586"/>
      <c r="L285" s="215" t="s">
        <v>159</v>
      </c>
      <c r="M285" s="291"/>
    </row>
    <row r="286" spans="1:13" s="38" customFormat="1" ht="24.75" customHeight="1">
      <c r="A286" s="377"/>
      <c r="B286" s="381" t="s">
        <v>145</v>
      </c>
      <c r="C286" s="7"/>
      <c r="D286" s="3"/>
      <c r="E286" s="586">
        <f t="shared" si="45"/>
        <v>0</v>
      </c>
      <c r="F286" s="586"/>
      <c r="G286" s="586">
        <f t="shared" si="46"/>
        <v>0</v>
      </c>
      <c r="H286" s="586"/>
      <c r="I286" s="20"/>
      <c r="J286" s="586">
        <v>0</v>
      </c>
      <c r="K286" s="586"/>
      <c r="L286" s="215"/>
      <c r="M286" s="291"/>
    </row>
    <row r="287" spans="1:13" s="38" customFormat="1" ht="24.75" customHeight="1">
      <c r="A287" s="377"/>
      <c r="B287" s="382"/>
      <c r="C287" s="7"/>
      <c r="D287" s="3">
        <v>2020</v>
      </c>
      <c r="E287" s="20">
        <f>F287+G287+J287+K287</f>
        <v>0</v>
      </c>
      <c r="F287" s="586"/>
      <c r="G287" s="586">
        <f>H287+I287</f>
        <v>0</v>
      </c>
      <c r="H287" s="586"/>
      <c r="I287" s="20"/>
      <c r="J287" s="20">
        <v>0</v>
      </c>
      <c r="K287" s="586">
        <v>0</v>
      </c>
      <c r="L287" s="220" t="s">
        <v>7</v>
      </c>
      <c r="M287" s="291"/>
    </row>
    <row r="288" spans="1:13" s="38" customFormat="1" ht="24.75" customHeight="1">
      <c r="A288" s="377"/>
      <c r="B288" s="382"/>
      <c r="C288" s="7"/>
      <c r="D288" s="3">
        <v>2021</v>
      </c>
      <c r="E288" s="20">
        <f>F288+G288+J288+K288</f>
        <v>0</v>
      </c>
      <c r="F288" s="586"/>
      <c r="G288" s="586">
        <f>H288+I288</f>
        <v>0</v>
      </c>
      <c r="H288" s="586"/>
      <c r="I288" s="20"/>
      <c r="J288" s="20">
        <v>0</v>
      </c>
      <c r="K288" s="586">
        <v>0</v>
      </c>
      <c r="L288" s="220" t="s">
        <v>7</v>
      </c>
      <c r="M288" s="291"/>
    </row>
    <row r="289" spans="1:13" s="38" customFormat="1" ht="24.75" customHeight="1">
      <c r="A289" s="378"/>
      <c r="B289" s="383"/>
      <c r="C289" s="7"/>
      <c r="D289" s="3">
        <v>2022</v>
      </c>
      <c r="E289" s="20">
        <f aca="true" t="shared" si="51" ref="E289:E304">F289+G289+J289+K289</f>
        <v>0</v>
      </c>
      <c r="F289" s="586"/>
      <c r="G289" s="586">
        <f>H289+I289</f>
        <v>0</v>
      </c>
      <c r="H289" s="586"/>
      <c r="I289" s="20"/>
      <c r="J289" s="20">
        <v>0</v>
      </c>
      <c r="K289" s="586">
        <v>0</v>
      </c>
      <c r="L289" s="220" t="s">
        <v>7</v>
      </c>
      <c r="M289" s="291"/>
    </row>
    <row r="290" spans="1:13" s="38" customFormat="1" ht="24.75" customHeight="1">
      <c r="A290" s="312" t="s">
        <v>81</v>
      </c>
      <c r="B290" s="291" t="s">
        <v>131</v>
      </c>
      <c r="C290" s="7" t="s">
        <v>106</v>
      </c>
      <c r="D290" s="250">
        <v>2017</v>
      </c>
      <c r="E290" s="20">
        <f t="shared" si="51"/>
        <v>6400.301</v>
      </c>
      <c r="F290" s="586"/>
      <c r="G290" s="586">
        <f aca="true" t="shared" si="52" ref="G290:G296">H290+I290</f>
        <v>0</v>
      </c>
      <c r="H290" s="586"/>
      <c r="I290" s="20"/>
      <c r="J290" s="20">
        <v>6400.301</v>
      </c>
      <c r="K290" s="586">
        <v>0</v>
      </c>
      <c r="L290" s="220" t="s">
        <v>7</v>
      </c>
      <c r="M290" s="291"/>
    </row>
    <row r="291" spans="1:13" s="38" customFormat="1" ht="24.75" customHeight="1">
      <c r="A291" s="312"/>
      <c r="B291" s="291"/>
      <c r="C291" s="7" t="s">
        <v>41</v>
      </c>
      <c r="D291" s="250"/>
      <c r="E291" s="20">
        <f t="shared" si="51"/>
        <v>1458.533</v>
      </c>
      <c r="F291" s="586"/>
      <c r="G291" s="586">
        <f t="shared" si="52"/>
        <v>0</v>
      </c>
      <c r="H291" s="586"/>
      <c r="I291" s="20"/>
      <c r="J291" s="20">
        <v>1458.533</v>
      </c>
      <c r="K291" s="586">
        <v>0</v>
      </c>
      <c r="L291" s="220" t="s">
        <v>3</v>
      </c>
      <c r="M291" s="291"/>
    </row>
    <row r="292" spans="1:13" s="38" customFormat="1" ht="24.75" customHeight="1">
      <c r="A292" s="312" t="s">
        <v>82</v>
      </c>
      <c r="B292" s="291" t="s">
        <v>132</v>
      </c>
      <c r="C292" s="7" t="s">
        <v>42</v>
      </c>
      <c r="D292" s="257">
        <v>2017</v>
      </c>
      <c r="E292" s="20">
        <f t="shared" si="51"/>
        <v>2177.928</v>
      </c>
      <c r="F292" s="586"/>
      <c r="G292" s="81">
        <f t="shared" si="52"/>
        <v>0</v>
      </c>
      <c r="H292" s="81"/>
      <c r="I292" s="82"/>
      <c r="J292" s="82">
        <v>2177.928</v>
      </c>
      <c r="K292" s="81">
        <v>0</v>
      </c>
      <c r="L292" s="220" t="s">
        <v>7</v>
      </c>
      <c r="M292" s="291"/>
    </row>
    <row r="293" spans="1:13" s="38" customFormat="1" ht="27.75" customHeight="1">
      <c r="A293" s="312"/>
      <c r="B293" s="291"/>
      <c r="C293" s="7" t="s">
        <v>43</v>
      </c>
      <c r="D293" s="257"/>
      <c r="E293" s="20">
        <f t="shared" si="51"/>
        <v>431.162</v>
      </c>
      <c r="F293" s="586"/>
      <c r="G293" s="81">
        <f t="shared" si="52"/>
        <v>0</v>
      </c>
      <c r="H293" s="81"/>
      <c r="I293" s="82"/>
      <c r="J293" s="82">
        <v>431.162</v>
      </c>
      <c r="K293" s="81">
        <v>0</v>
      </c>
      <c r="L293" s="220" t="s">
        <v>3</v>
      </c>
      <c r="M293" s="291"/>
    </row>
    <row r="294" spans="1:13" s="38" customFormat="1" ht="24.75" customHeight="1">
      <c r="A294" s="312" t="s">
        <v>144</v>
      </c>
      <c r="B294" s="291" t="s">
        <v>83</v>
      </c>
      <c r="C294" s="7"/>
      <c r="D294" s="257">
        <v>2017</v>
      </c>
      <c r="E294" s="20">
        <f t="shared" si="51"/>
        <v>4135.29</v>
      </c>
      <c r="F294" s="586"/>
      <c r="G294" s="81">
        <f t="shared" si="52"/>
        <v>0</v>
      </c>
      <c r="H294" s="81"/>
      <c r="I294" s="82"/>
      <c r="J294" s="82">
        <v>4135.29</v>
      </c>
      <c r="K294" s="81">
        <v>0</v>
      </c>
      <c r="L294" s="380" t="s">
        <v>7</v>
      </c>
      <c r="M294" s="291"/>
    </row>
    <row r="295" spans="1:13" s="38" customFormat="1" ht="24.75" customHeight="1">
      <c r="A295" s="312"/>
      <c r="B295" s="291"/>
      <c r="C295" s="7" t="s">
        <v>148</v>
      </c>
      <c r="D295" s="257"/>
      <c r="E295" s="20">
        <f t="shared" si="51"/>
        <v>10933.428</v>
      </c>
      <c r="F295" s="586"/>
      <c r="G295" s="81">
        <f t="shared" si="52"/>
        <v>0</v>
      </c>
      <c r="H295" s="81"/>
      <c r="I295" s="82"/>
      <c r="J295" s="82">
        <v>10933.428</v>
      </c>
      <c r="K295" s="81">
        <v>0</v>
      </c>
      <c r="L295" s="380"/>
      <c r="M295" s="291"/>
    </row>
    <row r="296" spans="1:13" s="38" customFormat="1" ht="31.5" customHeight="1" thickBot="1">
      <c r="A296" s="312"/>
      <c r="B296" s="291"/>
      <c r="C296" s="7" t="s">
        <v>148</v>
      </c>
      <c r="D296" s="384"/>
      <c r="E296" s="632">
        <f t="shared" si="51"/>
        <v>897.642</v>
      </c>
      <c r="F296" s="633"/>
      <c r="G296" s="639">
        <f t="shared" si="52"/>
        <v>0</v>
      </c>
      <c r="H296" s="639"/>
      <c r="I296" s="640"/>
      <c r="J296" s="640">
        <v>897.642</v>
      </c>
      <c r="K296" s="639">
        <v>0</v>
      </c>
      <c r="L296" s="220" t="s">
        <v>3</v>
      </c>
      <c r="M296" s="291"/>
    </row>
    <row r="297" spans="1:13" s="38" customFormat="1" ht="24.75" customHeight="1" thickBot="1">
      <c r="A297" s="265" t="s">
        <v>100</v>
      </c>
      <c r="B297" s="273" t="s">
        <v>101</v>
      </c>
      <c r="C297" s="76"/>
      <c r="D297" s="79">
        <v>2018</v>
      </c>
      <c r="E297" s="635">
        <f>F297+J297+K297</f>
        <v>1130.874</v>
      </c>
      <c r="F297" s="641">
        <f aca="true" t="shared" si="53" ref="F297:K297">SUM(F298:F304)</f>
        <v>0</v>
      </c>
      <c r="G297" s="641">
        <f t="shared" si="53"/>
        <v>0</v>
      </c>
      <c r="H297" s="641">
        <f t="shared" si="53"/>
        <v>0</v>
      </c>
      <c r="I297" s="641">
        <f t="shared" si="53"/>
        <v>0</v>
      </c>
      <c r="J297" s="641">
        <f t="shared" si="53"/>
        <v>1130.874</v>
      </c>
      <c r="K297" s="642">
        <f t="shared" si="53"/>
        <v>0</v>
      </c>
      <c r="L297" s="77"/>
      <c r="M297" s="328" t="s">
        <v>107</v>
      </c>
    </row>
    <row r="298" spans="1:13" s="38" customFormat="1" ht="24.75" customHeight="1">
      <c r="A298" s="266"/>
      <c r="B298" s="274"/>
      <c r="C298" s="24"/>
      <c r="D298" s="78"/>
      <c r="E298" s="637">
        <f>F298+G298+J298+K298</f>
        <v>0</v>
      </c>
      <c r="F298" s="643"/>
      <c r="G298" s="644">
        <f aca="true" t="shared" si="54" ref="G298:G304">H298+I298</f>
        <v>0</v>
      </c>
      <c r="H298" s="645"/>
      <c r="I298" s="644">
        <v>0</v>
      </c>
      <c r="J298" s="644">
        <v>0</v>
      </c>
      <c r="K298" s="645"/>
      <c r="L298" s="28"/>
      <c r="M298" s="329"/>
    </row>
    <row r="299" spans="1:13" s="38" customFormat="1" ht="24.75" customHeight="1">
      <c r="A299" s="266"/>
      <c r="B299" s="274"/>
      <c r="C299" s="24" t="s">
        <v>102</v>
      </c>
      <c r="D299" s="6"/>
      <c r="E299" s="586">
        <f t="shared" si="51"/>
        <v>32.401</v>
      </c>
      <c r="F299" s="646"/>
      <c r="G299" s="81">
        <f t="shared" si="54"/>
        <v>0</v>
      </c>
      <c r="H299" s="81"/>
      <c r="I299" s="82"/>
      <c r="J299" s="586">
        <f>24+9.98-1.579</f>
        <v>32.401</v>
      </c>
      <c r="K299" s="81"/>
      <c r="L299" s="4" t="s">
        <v>102</v>
      </c>
      <c r="M299" s="329"/>
    </row>
    <row r="300" spans="1:13" s="38" customFormat="1" ht="24.75" customHeight="1">
      <c r="A300" s="266"/>
      <c r="B300" s="274"/>
      <c r="C300" s="24" t="s">
        <v>103</v>
      </c>
      <c r="D300" s="6"/>
      <c r="E300" s="586">
        <f t="shared" si="51"/>
        <v>202.33000000000004</v>
      </c>
      <c r="F300" s="646"/>
      <c r="G300" s="81">
        <f t="shared" si="54"/>
        <v>0</v>
      </c>
      <c r="H300" s="81"/>
      <c r="I300" s="82"/>
      <c r="J300" s="586">
        <f>304.8-99.63174-2.83826</f>
        <v>202.33000000000004</v>
      </c>
      <c r="K300" s="81"/>
      <c r="L300" s="4" t="s">
        <v>103</v>
      </c>
      <c r="M300" s="329"/>
    </row>
    <row r="301" spans="1:13" s="38" customFormat="1" ht="24.75" customHeight="1">
      <c r="A301" s="266"/>
      <c r="B301" s="274"/>
      <c r="C301" s="24" t="s">
        <v>104</v>
      </c>
      <c r="D301" s="6"/>
      <c r="E301" s="586">
        <f t="shared" si="51"/>
        <v>193.929</v>
      </c>
      <c r="F301" s="646"/>
      <c r="G301" s="81">
        <f t="shared" si="54"/>
        <v>0</v>
      </c>
      <c r="H301" s="81"/>
      <c r="I301" s="82"/>
      <c r="J301" s="81">
        <f>138.5+55.429</f>
        <v>193.929</v>
      </c>
      <c r="K301" s="81"/>
      <c r="L301" s="4" t="s">
        <v>104</v>
      </c>
      <c r="M301" s="329"/>
    </row>
    <row r="302" spans="1:13" s="38" customFormat="1" ht="24.75" customHeight="1">
      <c r="A302" s="266"/>
      <c r="B302" s="274"/>
      <c r="C302" s="24"/>
      <c r="D302" s="6"/>
      <c r="E302" s="586">
        <f>F302+G302+J302+K302</f>
        <v>522.2139999999999</v>
      </c>
      <c r="F302" s="646"/>
      <c r="G302" s="81">
        <f t="shared" si="54"/>
        <v>0</v>
      </c>
      <c r="H302" s="81"/>
      <c r="I302" s="82"/>
      <c r="J302" s="81">
        <f>874-134.152-30-249.634+62</f>
        <v>522.2139999999999</v>
      </c>
      <c r="K302" s="81"/>
      <c r="L302" s="4" t="s">
        <v>105</v>
      </c>
      <c r="M302" s="329"/>
    </row>
    <row r="303" spans="1:13" s="38" customFormat="1" ht="24.75" customHeight="1">
      <c r="A303" s="266"/>
      <c r="B303" s="274"/>
      <c r="C303" s="24"/>
      <c r="D303" s="6"/>
      <c r="E303" s="586">
        <f t="shared" si="51"/>
        <v>40</v>
      </c>
      <c r="F303" s="646"/>
      <c r="G303" s="81">
        <f t="shared" si="54"/>
        <v>0</v>
      </c>
      <c r="H303" s="81"/>
      <c r="I303" s="82"/>
      <c r="J303" s="81">
        <f>100-60</f>
        <v>40</v>
      </c>
      <c r="K303" s="81"/>
      <c r="L303" s="4" t="s">
        <v>46</v>
      </c>
      <c r="M303" s="329"/>
    </row>
    <row r="304" spans="1:13" s="38" customFormat="1" ht="24.75" customHeight="1" thickBot="1">
      <c r="A304" s="266"/>
      <c r="B304" s="274"/>
      <c r="C304" s="129"/>
      <c r="D304" s="29"/>
      <c r="E304" s="633">
        <f t="shared" si="51"/>
        <v>140</v>
      </c>
      <c r="F304" s="647"/>
      <c r="G304" s="639">
        <f t="shared" si="54"/>
        <v>0</v>
      </c>
      <c r="H304" s="639"/>
      <c r="I304" s="640"/>
      <c r="J304" s="639">
        <f>165-25</f>
        <v>140</v>
      </c>
      <c r="K304" s="639"/>
      <c r="L304" s="132" t="s">
        <v>44</v>
      </c>
      <c r="M304" s="379"/>
    </row>
    <row r="305" spans="1:13" s="38" customFormat="1" ht="26.25" customHeight="1" thickBot="1">
      <c r="A305" s="266"/>
      <c r="B305" s="313"/>
      <c r="C305" s="130"/>
      <c r="D305" s="79">
        <v>2019</v>
      </c>
      <c r="E305" s="641">
        <f aca="true" t="shared" si="55" ref="E305:K305">SUM(E306:E307)</f>
        <v>195.01735000000002</v>
      </c>
      <c r="F305" s="641">
        <f t="shared" si="55"/>
        <v>0</v>
      </c>
      <c r="G305" s="641">
        <f t="shared" si="55"/>
        <v>0</v>
      </c>
      <c r="H305" s="641">
        <f t="shared" si="55"/>
        <v>0</v>
      </c>
      <c r="I305" s="641">
        <f t="shared" si="55"/>
        <v>0</v>
      </c>
      <c r="J305" s="641">
        <f t="shared" si="55"/>
        <v>195.01735000000002</v>
      </c>
      <c r="K305" s="642">
        <f t="shared" si="55"/>
        <v>0</v>
      </c>
      <c r="L305" s="133"/>
      <c r="M305" s="336"/>
    </row>
    <row r="306" spans="1:13" s="38" customFormat="1" ht="33" customHeight="1">
      <c r="A306" s="266"/>
      <c r="B306" s="274"/>
      <c r="C306" s="50" t="s">
        <v>104</v>
      </c>
      <c r="D306" s="78">
        <v>2019</v>
      </c>
      <c r="E306" s="644">
        <f>F306+G306+J306</f>
        <v>126.36635000000001</v>
      </c>
      <c r="F306" s="644"/>
      <c r="G306" s="644">
        <f>H306+I306</f>
        <v>0</v>
      </c>
      <c r="H306" s="644"/>
      <c r="I306" s="644"/>
      <c r="J306" s="644">
        <f>400-273.63365</f>
        <v>126.36635000000001</v>
      </c>
      <c r="K306" s="645"/>
      <c r="L306" s="98" t="s">
        <v>104</v>
      </c>
      <c r="M306" s="291"/>
    </row>
    <row r="307" spans="1:13" s="38" customFormat="1" ht="33" customHeight="1" thickBot="1">
      <c r="A307" s="266"/>
      <c r="B307" s="274"/>
      <c r="C307" s="66" t="s">
        <v>42</v>
      </c>
      <c r="D307" s="128">
        <v>2019</v>
      </c>
      <c r="E307" s="639">
        <f>F307+G307+J307</f>
        <v>68.651</v>
      </c>
      <c r="F307" s="639"/>
      <c r="G307" s="639">
        <f>H307+I307</f>
        <v>0</v>
      </c>
      <c r="H307" s="639"/>
      <c r="I307" s="639"/>
      <c r="J307" s="639">
        <v>68.651</v>
      </c>
      <c r="K307" s="640"/>
      <c r="L307" s="132" t="s">
        <v>42</v>
      </c>
      <c r="M307" s="291"/>
    </row>
    <row r="308" spans="1:13" s="38" customFormat="1" ht="24.75" customHeight="1" thickBot="1">
      <c r="A308" s="266"/>
      <c r="B308" s="313"/>
      <c r="C308" s="71"/>
      <c r="D308" s="131">
        <v>2020</v>
      </c>
      <c r="E308" s="635">
        <f>F308+G308+J308+K308</f>
        <v>303.52299999999997</v>
      </c>
      <c r="F308" s="635">
        <v>0</v>
      </c>
      <c r="G308" s="635">
        <v>0</v>
      </c>
      <c r="H308" s="635">
        <v>0</v>
      </c>
      <c r="I308" s="635">
        <v>0</v>
      </c>
      <c r="J308" s="635">
        <f>SUM(J309:J313)</f>
        <v>303.52299999999997</v>
      </c>
      <c r="K308" s="636">
        <v>0</v>
      </c>
      <c r="L308" s="134"/>
      <c r="M308" s="336"/>
    </row>
    <row r="309" spans="1:13" s="38" customFormat="1" ht="24.75" customHeight="1">
      <c r="A309" s="266"/>
      <c r="B309" s="274"/>
      <c r="C309" s="67" t="s">
        <v>105</v>
      </c>
      <c r="D309" s="41"/>
      <c r="E309" s="648">
        <f>F309+G309+J309+K309</f>
        <v>0</v>
      </c>
      <c r="F309" s="637"/>
      <c r="G309" s="637">
        <f>H309+I309</f>
        <v>0</v>
      </c>
      <c r="H309" s="637"/>
      <c r="I309" s="638"/>
      <c r="J309" s="637">
        <f>67.144-67.144</f>
        <v>0</v>
      </c>
      <c r="K309" s="637"/>
      <c r="L309" s="4" t="s">
        <v>7</v>
      </c>
      <c r="M309" s="291"/>
    </row>
    <row r="310" spans="1:13" s="38" customFormat="1" ht="24.75" customHeight="1">
      <c r="A310" s="266"/>
      <c r="B310" s="274"/>
      <c r="C310" s="67" t="s">
        <v>126</v>
      </c>
      <c r="D310" s="41"/>
      <c r="E310" s="637">
        <f>F310+G310+J310+K310</f>
        <v>248.093</v>
      </c>
      <c r="F310" s="637"/>
      <c r="G310" s="637">
        <f>H310+I310</f>
        <v>0</v>
      </c>
      <c r="H310" s="637"/>
      <c r="I310" s="638"/>
      <c r="J310" s="637">
        <f>250-1.907</f>
        <v>248.093</v>
      </c>
      <c r="K310" s="637"/>
      <c r="L310" s="65" t="s">
        <v>126</v>
      </c>
      <c r="M310" s="291"/>
    </row>
    <row r="311" spans="1:13" s="38" customFormat="1" ht="24.75" customHeight="1" thickBot="1">
      <c r="A311" s="266"/>
      <c r="B311" s="274"/>
      <c r="C311" s="155" t="s">
        <v>127</v>
      </c>
      <c r="D311" s="29"/>
      <c r="E311" s="567">
        <f>F311+G311+J311+K311</f>
        <v>55.43</v>
      </c>
      <c r="F311" s="633"/>
      <c r="G311" s="567">
        <f>H311+I311</f>
        <v>0</v>
      </c>
      <c r="H311" s="633"/>
      <c r="I311" s="632"/>
      <c r="J311" s="633">
        <v>55.43</v>
      </c>
      <c r="K311" s="633"/>
      <c r="L311" s="127" t="s">
        <v>127</v>
      </c>
      <c r="M311" s="291"/>
    </row>
    <row r="312" spans="1:13" s="38" customFormat="1" ht="24.75" customHeight="1" thickBot="1">
      <c r="A312" s="266"/>
      <c r="B312" s="313"/>
      <c r="C312" s="71"/>
      <c r="D312" s="131">
        <v>2021</v>
      </c>
      <c r="E312" s="649">
        <f>F312+G312+K312</f>
        <v>0</v>
      </c>
      <c r="F312" s="649">
        <v>0</v>
      </c>
      <c r="G312" s="649">
        <f>H312+I312</f>
        <v>0</v>
      </c>
      <c r="H312" s="649">
        <v>0</v>
      </c>
      <c r="I312" s="649">
        <v>0</v>
      </c>
      <c r="J312" s="649">
        <v>0</v>
      </c>
      <c r="K312" s="649">
        <v>0</v>
      </c>
      <c r="L312" s="135"/>
      <c r="M312" s="336"/>
    </row>
    <row r="313" spans="1:13" s="38" customFormat="1" ht="24.75" customHeight="1" thickBot="1">
      <c r="A313" s="267"/>
      <c r="B313" s="300"/>
      <c r="C313" s="71"/>
      <c r="D313" s="131">
        <v>2022</v>
      </c>
      <c r="E313" s="649">
        <f>F313+G313+K313</f>
        <v>0</v>
      </c>
      <c r="F313" s="649">
        <v>0</v>
      </c>
      <c r="G313" s="649">
        <f>H313+I313</f>
        <v>0</v>
      </c>
      <c r="H313" s="649">
        <v>0</v>
      </c>
      <c r="I313" s="649">
        <v>0</v>
      </c>
      <c r="J313" s="649">
        <v>0</v>
      </c>
      <c r="K313" s="649">
        <v>0</v>
      </c>
      <c r="L313" s="135"/>
      <c r="M313" s="336"/>
    </row>
    <row r="314" spans="1:13" s="38" customFormat="1" ht="28.5" customHeight="1" thickBot="1">
      <c r="A314" s="296" t="s">
        <v>114</v>
      </c>
      <c r="B314" s="328" t="s">
        <v>191</v>
      </c>
      <c r="C314" s="136"/>
      <c r="D314" s="137">
        <v>2019</v>
      </c>
      <c r="E314" s="650">
        <f aca="true" t="shared" si="56" ref="E314:K314">E319+E320+E321+E322+E323+E324+E325+E326</f>
        <v>498</v>
      </c>
      <c r="F314" s="650">
        <f t="shared" si="56"/>
        <v>0</v>
      </c>
      <c r="G314" s="650">
        <f t="shared" si="56"/>
        <v>473.00000000000006</v>
      </c>
      <c r="H314" s="650">
        <f t="shared" si="56"/>
        <v>0</v>
      </c>
      <c r="I314" s="650">
        <f t="shared" si="56"/>
        <v>473.00000000000006</v>
      </c>
      <c r="J314" s="650">
        <f t="shared" si="56"/>
        <v>25</v>
      </c>
      <c r="K314" s="651">
        <f t="shared" si="56"/>
        <v>0</v>
      </c>
      <c r="L314" s="243"/>
      <c r="M314" s="12"/>
    </row>
    <row r="315" spans="1:13" s="38" customFormat="1" ht="33" customHeight="1">
      <c r="A315" s="302"/>
      <c r="B315" s="329"/>
      <c r="C315" s="7"/>
      <c r="D315" s="41">
        <v>2020</v>
      </c>
      <c r="E315" s="20">
        <f>F315+G315+J315+K315</f>
        <v>0</v>
      </c>
      <c r="F315" s="638">
        <v>0</v>
      </c>
      <c r="G315" s="638">
        <v>0</v>
      </c>
      <c r="H315" s="638">
        <v>0</v>
      </c>
      <c r="I315" s="638">
        <v>0</v>
      </c>
      <c r="J315" s="638">
        <v>0</v>
      </c>
      <c r="K315" s="638">
        <v>0</v>
      </c>
      <c r="L315" s="28"/>
      <c r="M315" s="12"/>
    </row>
    <row r="316" spans="1:13" s="38" customFormat="1" ht="31.5" customHeight="1">
      <c r="A316" s="302"/>
      <c r="B316" s="329"/>
      <c r="C316" s="7"/>
      <c r="D316" s="6">
        <v>2021</v>
      </c>
      <c r="E316" s="20">
        <f>F316+G316+J316+K316</f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8"/>
      <c r="M316" s="12"/>
    </row>
    <row r="317" spans="1:13" s="38" customFormat="1" ht="25.5" customHeight="1">
      <c r="A317" s="302"/>
      <c r="B317" s="329"/>
      <c r="C317" s="7"/>
      <c r="D317" s="6">
        <v>2022</v>
      </c>
      <c r="E317" s="20">
        <f>F317+G317+J317+K317</f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8"/>
      <c r="M317" s="12"/>
    </row>
    <row r="318" spans="1:13" s="38" customFormat="1" ht="25.5" customHeight="1">
      <c r="A318" s="297"/>
      <c r="B318" s="379"/>
      <c r="C318" s="7"/>
      <c r="D318" s="6">
        <v>2023</v>
      </c>
      <c r="E318" s="20">
        <f aca="true" t="shared" si="57" ref="E318:E326">F318+G318+J318+K318</f>
        <v>0</v>
      </c>
      <c r="F318" s="20"/>
      <c r="G318" s="20">
        <f>H318+I318</f>
        <v>0</v>
      </c>
      <c r="H318" s="20"/>
      <c r="I318" s="20"/>
      <c r="J318" s="20"/>
      <c r="K318" s="20"/>
      <c r="L318" s="28"/>
      <c r="M318" s="12"/>
    </row>
    <row r="319" spans="1:13" s="38" customFormat="1" ht="43.5" customHeight="1">
      <c r="A319" s="312" t="s">
        <v>113</v>
      </c>
      <c r="B319" s="58" t="s">
        <v>172</v>
      </c>
      <c r="C319" s="5" t="s">
        <v>42</v>
      </c>
      <c r="D319" s="1">
        <v>2019</v>
      </c>
      <c r="E319" s="586">
        <f t="shared" si="57"/>
        <v>8.6</v>
      </c>
      <c r="F319" s="586"/>
      <c r="G319" s="586">
        <f>H319+I319</f>
        <v>0</v>
      </c>
      <c r="H319" s="586"/>
      <c r="I319" s="586">
        <v>0</v>
      </c>
      <c r="J319" s="586">
        <v>8.6</v>
      </c>
      <c r="K319" s="586">
        <v>0</v>
      </c>
      <c r="L319" s="4" t="s">
        <v>105</v>
      </c>
      <c r="M319" s="291"/>
    </row>
    <row r="320" spans="1:13" s="38" customFormat="1" ht="42.75" customHeight="1">
      <c r="A320" s="312"/>
      <c r="B320" s="545" t="s">
        <v>134</v>
      </c>
      <c r="C320" s="5" t="s">
        <v>43</v>
      </c>
      <c r="D320" s="1">
        <v>2019</v>
      </c>
      <c r="E320" s="586">
        <f t="shared" si="57"/>
        <v>15.4</v>
      </c>
      <c r="F320" s="586"/>
      <c r="G320" s="586">
        <f aca="true" t="shared" si="58" ref="G320:G326">H320+I320</f>
        <v>15.4</v>
      </c>
      <c r="H320" s="586"/>
      <c r="I320" s="586">
        <v>15.4</v>
      </c>
      <c r="J320" s="586">
        <v>0</v>
      </c>
      <c r="K320" s="586">
        <v>0</v>
      </c>
      <c r="L320" s="4" t="s">
        <v>46</v>
      </c>
      <c r="M320" s="291"/>
    </row>
    <row r="321" spans="1:13" s="38" customFormat="1" ht="66" customHeight="1">
      <c r="A321" s="42" t="s">
        <v>115</v>
      </c>
      <c r="B321" s="546" t="s">
        <v>173</v>
      </c>
      <c r="C321" s="5" t="s">
        <v>42</v>
      </c>
      <c r="D321" s="1">
        <v>2019</v>
      </c>
      <c r="E321" s="586">
        <f t="shared" si="57"/>
        <v>137.612</v>
      </c>
      <c r="F321" s="586"/>
      <c r="G321" s="586">
        <f t="shared" si="58"/>
        <v>137.612</v>
      </c>
      <c r="H321" s="586"/>
      <c r="I321" s="586">
        <v>137.612</v>
      </c>
      <c r="J321" s="586">
        <v>0</v>
      </c>
      <c r="K321" s="586">
        <v>0</v>
      </c>
      <c r="L321" s="4" t="s">
        <v>105</v>
      </c>
      <c r="M321" s="12" t="s">
        <v>120</v>
      </c>
    </row>
    <row r="322" spans="1:13" s="38" customFormat="1" ht="51" customHeight="1">
      <c r="A322" s="42" t="s">
        <v>116</v>
      </c>
      <c r="B322" s="546" t="s">
        <v>174</v>
      </c>
      <c r="C322" s="5" t="s">
        <v>42</v>
      </c>
      <c r="D322" s="1">
        <v>2019</v>
      </c>
      <c r="E322" s="586">
        <f t="shared" si="57"/>
        <v>131.693</v>
      </c>
      <c r="F322" s="586"/>
      <c r="G322" s="586">
        <f>H322+I322</f>
        <v>131.693</v>
      </c>
      <c r="H322" s="586"/>
      <c r="I322" s="586">
        <f>120.581+11.112</f>
        <v>131.693</v>
      </c>
      <c r="J322" s="586">
        <v>0</v>
      </c>
      <c r="K322" s="586">
        <v>0</v>
      </c>
      <c r="L322" s="4" t="s">
        <v>105</v>
      </c>
      <c r="M322" s="291" t="s">
        <v>121</v>
      </c>
    </row>
    <row r="323" spans="1:13" s="38" customFormat="1" ht="81.75" customHeight="1">
      <c r="A323" s="312" t="s">
        <v>117</v>
      </c>
      <c r="B323" s="546" t="s">
        <v>175</v>
      </c>
      <c r="C323" s="5" t="s">
        <v>42</v>
      </c>
      <c r="D323" s="1">
        <v>2019</v>
      </c>
      <c r="E323" s="586">
        <f t="shared" si="57"/>
        <v>44.018</v>
      </c>
      <c r="F323" s="586"/>
      <c r="G323" s="586">
        <f t="shared" si="58"/>
        <v>36.039</v>
      </c>
      <c r="H323" s="586"/>
      <c r="I323" s="586">
        <f>44.018-7.979</f>
        <v>36.039</v>
      </c>
      <c r="J323" s="586">
        <f>16.579-8.6</f>
        <v>7.979000000000001</v>
      </c>
      <c r="K323" s="586">
        <v>0</v>
      </c>
      <c r="L323" s="4" t="s">
        <v>105</v>
      </c>
      <c r="M323" s="291"/>
    </row>
    <row r="324" spans="1:13" s="38" customFormat="1" ht="77.25" customHeight="1">
      <c r="A324" s="312"/>
      <c r="B324" s="12" t="s">
        <v>176</v>
      </c>
      <c r="C324" s="5" t="s">
        <v>42</v>
      </c>
      <c r="D324" s="1">
        <v>2019</v>
      </c>
      <c r="E324" s="586">
        <f t="shared" si="57"/>
        <v>7.656000000000001</v>
      </c>
      <c r="F324" s="586"/>
      <c r="G324" s="586">
        <f t="shared" si="58"/>
        <v>7.656000000000001</v>
      </c>
      <c r="H324" s="586"/>
      <c r="I324" s="586">
        <f>18.768-11.112</f>
        <v>7.656000000000001</v>
      </c>
      <c r="J324" s="586"/>
      <c r="K324" s="586"/>
      <c r="L324" s="4" t="s">
        <v>178</v>
      </c>
      <c r="M324" s="12"/>
    </row>
    <row r="325" spans="1:13" s="38" customFormat="1" ht="57" customHeight="1">
      <c r="A325" s="312"/>
      <c r="B325" s="12" t="s">
        <v>133</v>
      </c>
      <c r="C325" s="5" t="s">
        <v>43</v>
      </c>
      <c r="D325" s="1">
        <v>2019</v>
      </c>
      <c r="E325" s="586">
        <f>F325+G325+J325+K325</f>
        <v>10.74</v>
      </c>
      <c r="F325" s="586"/>
      <c r="G325" s="586">
        <f t="shared" si="58"/>
        <v>10.74</v>
      </c>
      <c r="H325" s="586"/>
      <c r="I325" s="586">
        <v>10.74</v>
      </c>
      <c r="J325" s="586">
        <v>0</v>
      </c>
      <c r="K325" s="586">
        <v>0</v>
      </c>
      <c r="L325" s="4" t="s">
        <v>46</v>
      </c>
      <c r="M325" s="12" t="s">
        <v>122</v>
      </c>
    </row>
    <row r="326" spans="1:13" s="38" customFormat="1" ht="55.5" customHeight="1">
      <c r="A326" s="42" t="s">
        <v>118</v>
      </c>
      <c r="B326" s="12" t="s">
        <v>119</v>
      </c>
      <c r="C326" s="5" t="s">
        <v>43</v>
      </c>
      <c r="D326" s="1">
        <v>2019</v>
      </c>
      <c r="E326" s="586">
        <f t="shared" si="57"/>
        <v>142.281</v>
      </c>
      <c r="F326" s="586"/>
      <c r="G326" s="586">
        <f t="shared" si="58"/>
        <v>133.86</v>
      </c>
      <c r="H326" s="586"/>
      <c r="I326" s="586">
        <v>133.86</v>
      </c>
      <c r="J326" s="586">
        <v>8.421</v>
      </c>
      <c r="K326" s="586">
        <v>0</v>
      </c>
      <c r="L326" s="4" t="s">
        <v>46</v>
      </c>
      <c r="M326" s="12" t="s">
        <v>123</v>
      </c>
    </row>
    <row r="327" spans="1:13" s="49" customFormat="1" ht="62.25" customHeight="1">
      <c r="A327" s="51" t="s">
        <v>160</v>
      </c>
      <c r="B327" s="387" t="s">
        <v>157</v>
      </c>
      <c r="C327" s="388"/>
      <c r="D327" s="3">
        <v>2019</v>
      </c>
      <c r="E327" s="20">
        <f aca="true" t="shared" si="59" ref="E327:K327">E328+E329</f>
        <v>1013.9999999999999</v>
      </c>
      <c r="F327" s="20">
        <f t="shared" si="59"/>
        <v>0</v>
      </c>
      <c r="G327" s="20">
        <f t="shared" si="59"/>
        <v>963</v>
      </c>
      <c r="H327" s="20">
        <f t="shared" si="59"/>
        <v>0</v>
      </c>
      <c r="I327" s="20">
        <f t="shared" si="59"/>
        <v>963</v>
      </c>
      <c r="J327" s="20">
        <f t="shared" si="59"/>
        <v>51</v>
      </c>
      <c r="K327" s="20">
        <f t="shared" si="59"/>
        <v>0</v>
      </c>
      <c r="L327" s="28"/>
      <c r="M327" s="54"/>
    </row>
    <row r="328" spans="1:13" s="38" customFormat="1" ht="54" customHeight="1">
      <c r="A328" s="42" t="s">
        <v>161</v>
      </c>
      <c r="B328" s="389" t="s">
        <v>157</v>
      </c>
      <c r="C328" s="389"/>
      <c r="D328" s="55">
        <v>2019</v>
      </c>
      <c r="E328" s="8">
        <f>F328+G328+J328+K328</f>
        <v>800.0321799999999</v>
      </c>
      <c r="F328" s="652"/>
      <c r="G328" s="8">
        <f>H328+I328</f>
        <v>760.03</v>
      </c>
      <c r="H328" s="653"/>
      <c r="I328" s="654">
        <f>765.502-5.472</f>
        <v>760.03</v>
      </c>
      <c r="J328" s="655">
        <f>40.2898-0.28762</f>
        <v>40.00218</v>
      </c>
      <c r="K328" s="652"/>
      <c r="L328" s="52" t="s">
        <v>47</v>
      </c>
      <c r="M328" s="390" t="s">
        <v>158</v>
      </c>
    </row>
    <row r="329" spans="1:13" s="38" customFormat="1" ht="54.75" customHeight="1">
      <c r="A329" s="56" t="s">
        <v>162</v>
      </c>
      <c r="B329" s="298" t="s">
        <v>157</v>
      </c>
      <c r="C329" s="299"/>
      <c r="D329" s="55">
        <v>2019</v>
      </c>
      <c r="E329" s="169">
        <f>F329+G329+J329+K329</f>
        <v>213.96782</v>
      </c>
      <c r="F329" s="656"/>
      <c r="G329" s="169">
        <f>H329+I329</f>
        <v>202.97</v>
      </c>
      <c r="H329" s="657"/>
      <c r="I329" s="658">
        <f>197.498+5.472</f>
        <v>202.97</v>
      </c>
      <c r="J329" s="659">
        <f>10.7102+0.28762</f>
        <v>10.99782</v>
      </c>
      <c r="K329" s="656"/>
      <c r="L329" s="53" t="s">
        <v>168</v>
      </c>
      <c r="M329" s="381"/>
    </row>
    <row r="330" spans="1:13" s="38" customFormat="1" ht="24.75" customHeight="1">
      <c r="A330" s="391" t="s">
        <v>163</v>
      </c>
      <c r="B330" s="393" t="s">
        <v>198</v>
      </c>
      <c r="C330" s="394"/>
      <c r="D330" s="68">
        <v>2020</v>
      </c>
      <c r="E330" s="660">
        <f aca="true" t="shared" si="60" ref="E330:K330">E333+E334+E335+++++E337+E343+E344+E345+E346</f>
        <v>0</v>
      </c>
      <c r="F330" s="660">
        <f t="shared" si="60"/>
        <v>0</v>
      </c>
      <c r="G330" s="660">
        <f t="shared" si="60"/>
        <v>0</v>
      </c>
      <c r="H330" s="660">
        <f t="shared" si="60"/>
        <v>0</v>
      </c>
      <c r="I330" s="660">
        <f t="shared" si="60"/>
        <v>0</v>
      </c>
      <c r="J330" s="660">
        <f t="shared" si="60"/>
        <v>0</v>
      </c>
      <c r="K330" s="660">
        <f t="shared" si="60"/>
        <v>0</v>
      </c>
      <c r="L330" s="53"/>
      <c r="M330" s="66">
        <v>1377</v>
      </c>
    </row>
    <row r="331" spans="1:13" s="38" customFormat="1" ht="24.75" customHeight="1">
      <c r="A331" s="392"/>
      <c r="B331" s="395"/>
      <c r="C331" s="396"/>
      <c r="D331" s="68">
        <v>2021</v>
      </c>
      <c r="E331" s="660">
        <f aca="true" t="shared" si="61" ref="E331:K331">E336+E338+E339+E340+E341+E342</f>
        <v>0</v>
      </c>
      <c r="F331" s="660">
        <f t="shared" si="61"/>
        <v>0</v>
      </c>
      <c r="G331" s="660">
        <f t="shared" si="61"/>
        <v>0</v>
      </c>
      <c r="H331" s="660">
        <f t="shared" si="61"/>
        <v>0</v>
      </c>
      <c r="I331" s="660">
        <f t="shared" si="61"/>
        <v>0</v>
      </c>
      <c r="J331" s="660">
        <f t="shared" si="61"/>
        <v>0</v>
      </c>
      <c r="K331" s="660">
        <f t="shared" si="61"/>
        <v>0</v>
      </c>
      <c r="L331" s="53"/>
      <c r="M331" s="66">
        <v>1630</v>
      </c>
    </row>
    <row r="332" spans="1:13" s="38" customFormat="1" ht="24.75" customHeight="1" thickBot="1">
      <c r="A332" s="392"/>
      <c r="B332" s="395"/>
      <c r="C332" s="396"/>
      <c r="D332" s="68">
        <v>2022</v>
      </c>
      <c r="E332" s="660">
        <v>0</v>
      </c>
      <c r="F332" s="660">
        <v>0</v>
      </c>
      <c r="G332" s="660">
        <v>0</v>
      </c>
      <c r="H332" s="660">
        <v>0</v>
      </c>
      <c r="I332" s="660">
        <v>0</v>
      </c>
      <c r="J332" s="660">
        <v>0</v>
      </c>
      <c r="K332" s="660">
        <v>0</v>
      </c>
      <c r="L332" s="53"/>
      <c r="M332" s="66"/>
    </row>
    <row r="333" spans="1:13" s="38" customFormat="1" ht="24.75" customHeight="1">
      <c r="A333" s="397" t="s">
        <v>192</v>
      </c>
      <c r="B333" s="290" t="s">
        <v>179</v>
      </c>
      <c r="C333" s="85" t="s">
        <v>180</v>
      </c>
      <c r="D333" s="92">
        <v>2020</v>
      </c>
      <c r="E333" s="648"/>
      <c r="F333" s="648"/>
      <c r="G333" s="648"/>
      <c r="H333" s="648"/>
      <c r="I333" s="648"/>
      <c r="J333" s="648">
        <v>0</v>
      </c>
      <c r="K333" s="648"/>
      <c r="L333" s="93" t="s">
        <v>180</v>
      </c>
      <c r="M333" s="32"/>
    </row>
    <row r="334" spans="1:13" s="38" customFormat="1" ht="24.75" customHeight="1">
      <c r="A334" s="398"/>
      <c r="B334" s="274"/>
      <c r="C334" s="5" t="s">
        <v>181</v>
      </c>
      <c r="D334" s="1">
        <v>2020</v>
      </c>
      <c r="E334" s="586"/>
      <c r="F334" s="586"/>
      <c r="G334" s="586"/>
      <c r="H334" s="586"/>
      <c r="I334" s="586"/>
      <c r="J334" s="586">
        <v>0</v>
      </c>
      <c r="K334" s="586"/>
      <c r="L334" s="4" t="s">
        <v>181</v>
      </c>
      <c r="M334" s="33"/>
    </row>
    <row r="335" spans="1:13" s="38" customFormat="1" ht="24.75" customHeight="1">
      <c r="A335" s="398"/>
      <c r="B335" s="274"/>
      <c r="C335" s="5" t="s">
        <v>182</v>
      </c>
      <c r="D335" s="1">
        <v>2020</v>
      </c>
      <c r="E335" s="586"/>
      <c r="F335" s="586"/>
      <c r="G335" s="586"/>
      <c r="H335" s="586"/>
      <c r="I335" s="586"/>
      <c r="J335" s="586">
        <v>0</v>
      </c>
      <c r="K335" s="586"/>
      <c r="L335" s="4" t="s">
        <v>182</v>
      </c>
      <c r="M335" s="33"/>
    </row>
    <row r="336" spans="1:13" s="38" customFormat="1" ht="24.75" customHeight="1" thickBot="1">
      <c r="A336" s="399"/>
      <c r="B336" s="400"/>
      <c r="C336" s="94" t="s">
        <v>186</v>
      </c>
      <c r="D336" s="95">
        <v>2021</v>
      </c>
      <c r="E336" s="661"/>
      <c r="F336" s="661"/>
      <c r="G336" s="661"/>
      <c r="H336" s="661"/>
      <c r="I336" s="661"/>
      <c r="J336" s="661">
        <v>0</v>
      </c>
      <c r="K336" s="661"/>
      <c r="L336" s="96" t="s">
        <v>186</v>
      </c>
      <c r="M336" s="35"/>
    </row>
    <row r="337" spans="1:13" s="38" customFormat="1" ht="24.75" customHeight="1">
      <c r="A337" s="349" t="s">
        <v>193</v>
      </c>
      <c r="B337" s="290" t="s">
        <v>183</v>
      </c>
      <c r="C337" s="85" t="s">
        <v>182</v>
      </c>
      <c r="D337" s="92">
        <v>2020</v>
      </c>
      <c r="E337" s="648"/>
      <c r="F337" s="648"/>
      <c r="G337" s="648"/>
      <c r="H337" s="648"/>
      <c r="I337" s="648"/>
      <c r="J337" s="648">
        <v>0</v>
      </c>
      <c r="K337" s="648"/>
      <c r="L337" s="93" t="s">
        <v>182</v>
      </c>
      <c r="M337" s="32"/>
    </row>
    <row r="338" spans="1:13" s="38" customFormat="1" ht="24.75" customHeight="1">
      <c r="A338" s="350"/>
      <c r="B338" s="274"/>
      <c r="C338" s="5" t="s">
        <v>189</v>
      </c>
      <c r="D338" s="1">
        <v>2021</v>
      </c>
      <c r="E338" s="586"/>
      <c r="F338" s="586"/>
      <c r="G338" s="586"/>
      <c r="H338" s="586"/>
      <c r="I338" s="586"/>
      <c r="J338" s="586">
        <v>0</v>
      </c>
      <c r="K338" s="586"/>
      <c r="L338" s="4" t="s">
        <v>189</v>
      </c>
      <c r="M338" s="33"/>
    </row>
    <row r="339" spans="1:13" s="38" customFormat="1" ht="24.75" customHeight="1">
      <c r="A339" s="350"/>
      <c r="B339" s="274"/>
      <c r="C339" s="5" t="s">
        <v>44</v>
      </c>
      <c r="D339" s="1">
        <v>2021</v>
      </c>
      <c r="E339" s="586"/>
      <c r="F339" s="586"/>
      <c r="G339" s="586"/>
      <c r="H339" s="586"/>
      <c r="I339" s="586"/>
      <c r="J339" s="586">
        <v>0</v>
      </c>
      <c r="K339" s="586"/>
      <c r="L339" s="4" t="s">
        <v>190</v>
      </c>
      <c r="M339" s="33"/>
    </row>
    <row r="340" spans="1:13" s="38" customFormat="1" ht="24.75" customHeight="1">
      <c r="A340" s="350"/>
      <c r="B340" s="274"/>
      <c r="C340" s="5" t="s">
        <v>150</v>
      </c>
      <c r="D340" s="1">
        <v>2021</v>
      </c>
      <c r="E340" s="586"/>
      <c r="F340" s="586"/>
      <c r="G340" s="586"/>
      <c r="H340" s="586"/>
      <c r="I340" s="586"/>
      <c r="J340" s="586">
        <v>0</v>
      </c>
      <c r="K340" s="586"/>
      <c r="L340" s="4" t="s">
        <v>150</v>
      </c>
      <c r="M340" s="33"/>
    </row>
    <row r="341" spans="1:13" s="38" customFormat="1" ht="24.75" customHeight="1">
      <c r="A341" s="350"/>
      <c r="B341" s="274"/>
      <c r="C341" s="5" t="s">
        <v>149</v>
      </c>
      <c r="D341" s="1">
        <v>2021</v>
      </c>
      <c r="E341" s="586"/>
      <c r="F341" s="586"/>
      <c r="G341" s="586"/>
      <c r="H341" s="586"/>
      <c r="I341" s="586"/>
      <c r="J341" s="586">
        <v>0</v>
      </c>
      <c r="K341" s="586"/>
      <c r="L341" s="4" t="s">
        <v>149</v>
      </c>
      <c r="M341" s="33"/>
    </row>
    <row r="342" spans="1:13" s="38" customFormat="1" ht="24.75" customHeight="1" thickBot="1">
      <c r="A342" s="351"/>
      <c r="B342" s="400"/>
      <c r="C342" s="94" t="s">
        <v>186</v>
      </c>
      <c r="D342" s="95">
        <v>2021</v>
      </c>
      <c r="E342" s="661"/>
      <c r="F342" s="661"/>
      <c r="G342" s="661"/>
      <c r="H342" s="661"/>
      <c r="I342" s="661"/>
      <c r="J342" s="661">
        <v>0</v>
      </c>
      <c r="K342" s="661"/>
      <c r="L342" s="96" t="s">
        <v>186</v>
      </c>
      <c r="M342" s="35"/>
    </row>
    <row r="343" spans="1:13" s="38" customFormat="1" ht="39.75" customHeight="1">
      <c r="A343" s="91" t="s">
        <v>194</v>
      </c>
      <c r="B343" s="87" t="s">
        <v>188</v>
      </c>
      <c r="C343" s="65" t="s">
        <v>149</v>
      </c>
      <c r="D343" s="97">
        <v>2020</v>
      </c>
      <c r="E343" s="637"/>
      <c r="F343" s="637"/>
      <c r="G343" s="637"/>
      <c r="H343" s="637"/>
      <c r="I343" s="637"/>
      <c r="J343" s="637">
        <v>0</v>
      </c>
      <c r="K343" s="637"/>
      <c r="L343" s="98" t="s">
        <v>149</v>
      </c>
      <c r="M343" s="40"/>
    </row>
    <row r="344" spans="1:13" s="38" customFormat="1" ht="36" customHeight="1">
      <c r="A344" s="56" t="s">
        <v>195</v>
      </c>
      <c r="B344" s="88" t="s">
        <v>184</v>
      </c>
      <c r="C344" s="5" t="s">
        <v>149</v>
      </c>
      <c r="D344" s="1">
        <v>2020</v>
      </c>
      <c r="E344" s="586"/>
      <c r="F344" s="586"/>
      <c r="G344" s="586"/>
      <c r="H344" s="586"/>
      <c r="I344" s="586"/>
      <c r="J344" s="586">
        <v>0</v>
      </c>
      <c r="K344" s="586"/>
      <c r="L344" s="4" t="s">
        <v>149</v>
      </c>
      <c r="M344" s="12"/>
    </row>
    <row r="345" spans="1:13" s="38" customFormat="1" ht="37.5" customHeight="1">
      <c r="A345" s="99" t="s">
        <v>196</v>
      </c>
      <c r="B345" s="88" t="s">
        <v>185</v>
      </c>
      <c r="C345" s="5" t="s">
        <v>186</v>
      </c>
      <c r="D345" s="1">
        <v>2020</v>
      </c>
      <c r="E345" s="586"/>
      <c r="F345" s="586"/>
      <c r="G345" s="586"/>
      <c r="H345" s="586"/>
      <c r="I345" s="586"/>
      <c r="J345" s="586">
        <v>0</v>
      </c>
      <c r="K345" s="586"/>
      <c r="L345" s="4" t="s">
        <v>186</v>
      </c>
      <c r="M345" s="12"/>
    </row>
    <row r="346" spans="1:13" s="38" customFormat="1" ht="41.25" customHeight="1" thickBot="1">
      <c r="A346" s="99" t="s">
        <v>197</v>
      </c>
      <c r="B346" s="244" t="s">
        <v>187</v>
      </c>
      <c r="C346" s="197" t="s">
        <v>186</v>
      </c>
      <c r="D346" s="55">
        <v>2020</v>
      </c>
      <c r="E346" s="633"/>
      <c r="F346" s="633"/>
      <c r="G346" s="633"/>
      <c r="H346" s="633"/>
      <c r="I346" s="633"/>
      <c r="J346" s="633">
        <v>0</v>
      </c>
      <c r="K346" s="633"/>
      <c r="L346" s="132" t="s">
        <v>186</v>
      </c>
      <c r="M346" s="141"/>
    </row>
    <row r="347" spans="1:13" s="49" customFormat="1" ht="41.25" customHeight="1" thickBot="1">
      <c r="A347" s="456" t="s">
        <v>252</v>
      </c>
      <c r="B347" s="385" t="s">
        <v>254</v>
      </c>
      <c r="C347" s="386"/>
      <c r="D347" s="72">
        <v>2020</v>
      </c>
      <c r="E347" s="635">
        <f>F347+G347+J347+K347</f>
        <v>1762</v>
      </c>
      <c r="F347" s="635"/>
      <c r="G347" s="635">
        <f>H347+I347</f>
        <v>1533</v>
      </c>
      <c r="H347" s="635"/>
      <c r="I347" s="635">
        <f>I348+I349+I350</f>
        <v>1533</v>
      </c>
      <c r="J347" s="635">
        <f>J348+J349+J350</f>
        <v>229</v>
      </c>
      <c r="K347" s="635">
        <f>K348+K349+K350</f>
        <v>0</v>
      </c>
      <c r="L347" s="246"/>
      <c r="M347" s="247"/>
    </row>
    <row r="348" spans="1:13" s="38" customFormat="1" ht="60" customHeight="1">
      <c r="A348" s="457"/>
      <c r="B348" s="459" t="s">
        <v>255</v>
      </c>
      <c r="C348" s="460"/>
      <c r="D348" s="97">
        <v>2020</v>
      </c>
      <c r="E348" s="637">
        <f>F348+G348+J348+K348</f>
        <v>300</v>
      </c>
      <c r="F348" s="637"/>
      <c r="G348" s="637">
        <f>H348+I348</f>
        <v>261</v>
      </c>
      <c r="H348" s="637"/>
      <c r="I348" s="637">
        <v>261</v>
      </c>
      <c r="J348" s="637">
        <v>39</v>
      </c>
      <c r="K348" s="637">
        <v>0</v>
      </c>
      <c r="L348" s="98" t="s">
        <v>253</v>
      </c>
      <c r="M348" s="245"/>
    </row>
    <row r="349" spans="1:13" s="38" customFormat="1" ht="55.5" customHeight="1">
      <c r="A349" s="457"/>
      <c r="B349" s="516" t="s">
        <v>256</v>
      </c>
      <c r="C349" s="517"/>
      <c r="D349" s="1">
        <v>2020</v>
      </c>
      <c r="E349" s="586">
        <f>F349+G349+J349+K349</f>
        <v>657.4</v>
      </c>
      <c r="F349" s="586"/>
      <c r="G349" s="586">
        <f>H349+I349</f>
        <v>572</v>
      </c>
      <c r="H349" s="586"/>
      <c r="I349" s="586">
        <v>572</v>
      </c>
      <c r="J349" s="586">
        <v>85.4</v>
      </c>
      <c r="K349" s="586">
        <v>0</v>
      </c>
      <c r="L349" s="4" t="s">
        <v>105</v>
      </c>
      <c r="M349" s="141"/>
    </row>
    <row r="350" spans="1:13" s="38" customFormat="1" ht="55.5" customHeight="1">
      <c r="A350" s="458"/>
      <c r="B350" s="516" t="s">
        <v>256</v>
      </c>
      <c r="C350" s="517"/>
      <c r="D350" s="1">
        <v>2020</v>
      </c>
      <c r="E350" s="586">
        <f>F350+G350+J350+K350</f>
        <v>804.6</v>
      </c>
      <c r="F350" s="586"/>
      <c r="G350" s="586">
        <f>H350+I350</f>
        <v>700</v>
      </c>
      <c r="H350" s="586"/>
      <c r="I350" s="586">
        <v>700</v>
      </c>
      <c r="J350" s="586">
        <v>104.6</v>
      </c>
      <c r="K350" s="586">
        <v>0</v>
      </c>
      <c r="L350" s="4" t="s">
        <v>46</v>
      </c>
      <c r="M350" s="141"/>
    </row>
    <row r="351" spans="1:13" s="49" customFormat="1" ht="24.75" customHeight="1">
      <c r="A351" s="57"/>
      <c r="B351" s="515"/>
      <c r="C351" s="515"/>
      <c r="D351" s="3"/>
      <c r="E351" s="21"/>
      <c r="F351" s="21"/>
      <c r="G351" s="21"/>
      <c r="H351" s="21"/>
      <c r="I351" s="21"/>
      <c r="J351" s="21"/>
      <c r="K351" s="662"/>
      <c r="L351" s="61"/>
      <c r="M351" s="58"/>
    </row>
    <row r="352" spans="1:13" s="49" customFormat="1" ht="24.75" customHeight="1" thickBot="1">
      <c r="A352" s="57"/>
      <c r="B352" s="63"/>
      <c r="C352" s="64"/>
      <c r="D352" s="68"/>
      <c r="E352" s="167"/>
      <c r="F352" s="167"/>
      <c r="G352" s="167"/>
      <c r="H352" s="167"/>
      <c r="I352" s="167"/>
      <c r="J352" s="167"/>
      <c r="K352" s="663"/>
      <c r="L352" s="201"/>
      <c r="M352" s="58"/>
    </row>
    <row r="353" spans="1:13" s="38" customFormat="1" ht="24.75" customHeight="1">
      <c r="A353" s="500"/>
      <c r="B353" s="450" t="s">
        <v>36</v>
      </c>
      <c r="C353" s="451"/>
      <c r="D353" s="31">
        <v>2017</v>
      </c>
      <c r="E353" s="202">
        <f>F353+G353+J353+K353</f>
        <v>26434.284</v>
      </c>
      <c r="F353" s="203">
        <f>G353+H353</f>
        <v>0</v>
      </c>
      <c r="G353" s="203">
        <f>H353+I353</f>
        <v>0</v>
      </c>
      <c r="H353" s="204">
        <f>H238+H239</f>
        <v>0</v>
      </c>
      <c r="I353" s="204">
        <f>I238+I239</f>
        <v>0</v>
      </c>
      <c r="J353" s="202">
        <f>J238+J239</f>
        <v>26434.284</v>
      </c>
      <c r="K353" s="202">
        <v>0</v>
      </c>
      <c r="L353" s="205"/>
      <c r="M353" s="143"/>
    </row>
    <row r="354" spans="1:13" s="38" customFormat="1" ht="24.75" customHeight="1">
      <c r="A354" s="501"/>
      <c r="B354" s="452"/>
      <c r="C354" s="453"/>
      <c r="D354" s="6">
        <v>2018</v>
      </c>
      <c r="E354" s="20">
        <f>F354+G354+J354+K354</f>
        <v>29674.233</v>
      </c>
      <c r="F354" s="81">
        <f>G354+H354</f>
        <v>0</v>
      </c>
      <c r="G354" s="81">
        <f>H354+I354</f>
        <v>0</v>
      </c>
      <c r="H354" s="82">
        <f>H240</f>
        <v>0</v>
      </c>
      <c r="I354" s="82">
        <f>I240</f>
        <v>0</v>
      </c>
      <c r="J354" s="20">
        <f>J240+J297</f>
        <v>29674.233</v>
      </c>
      <c r="K354" s="82">
        <v>0</v>
      </c>
      <c r="L354" s="206"/>
      <c r="M354" s="143"/>
    </row>
    <row r="355" spans="1:13" s="38" customFormat="1" ht="24.75" customHeight="1">
      <c r="A355" s="501"/>
      <c r="B355" s="452"/>
      <c r="C355" s="453"/>
      <c r="D355" s="6">
        <v>2019</v>
      </c>
      <c r="E355" s="20">
        <f aca="true" t="shared" si="62" ref="E355:K355">E256+E305+E314+E285+E327</f>
        <v>27583.2734</v>
      </c>
      <c r="F355" s="20">
        <f t="shared" si="62"/>
        <v>0</v>
      </c>
      <c r="G355" s="20">
        <f t="shared" si="62"/>
        <v>1436</v>
      </c>
      <c r="H355" s="20">
        <f t="shared" si="62"/>
        <v>0</v>
      </c>
      <c r="I355" s="20">
        <f t="shared" si="62"/>
        <v>1436</v>
      </c>
      <c r="J355" s="20">
        <f t="shared" si="62"/>
        <v>26147.2734</v>
      </c>
      <c r="K355" s="20">
        <f t="shared" si="62"/>
        <v>0</v>
      </c>
      <c r="L355" s="206"/>
      <c r="M355" s="143"/>
    </row>
    <row r="356" spans="1:13" s="38" customFormat="1" ht="24.75" customHeight="1">
      <c r="A356" s="501"/>
      <c r="B356" s="452"/>
      <c r="C356" s="453"/>
      <c r="D356" s="6">
        <v>2020</v>
      </c>
      <c r="E356" s="20">
        <f aca="true" t="shared" si="63" ref="E356:J356">E271+E287+E308+E315+E330+E347</f>
        <v>18121.27489</v>
      </c>
      <c r="F356" s="20">
        <f t="shared" si="63"/>
        <v>0</v>
      </c>
      <c r="G356" s="20">
        <f t="shared" si="63"/>
        <v>1533</v>
      </c>
      <c r="H356" s="20">
        <f t="shared" si="63"/>
        <v>0</v>
      </c>
      <c r="I356" s="20">
        <f t="shared" si="63"/>
        <v>1533</v>
      </c>
      <c r="J356" s="20">
        <f t="shared" si="63"/>
        <v>16588.27489</v>
      </c>
      <c r="K356" s="20">
        <f>K271+K287+K308+K315+K330</f>
        <v>0</v>
      </c>
      <c r="L356" s="206"/>
      <c r="M356" s="143"/>
    </row>
    <row r="357" spans="1:13" s="38" customFormat="1" ht="24.75" customHeight="1">
      <c r="A357" s="501"/>
      <c r="B357" s="452"/>
      <c r="C357" s="453"/>
      <c r="D357" s="6">
        <v>2021</v>
      </c>
      <c r="E357" s="20">
        <f aca="true" t="shared" si="64" ref="E357:K357">E281+E288+E312+E316+E331</f>
        <v>0</v>
      </c>
      <c r="F357" s="20">
        <f t="shared" si="64"/>
        <v>0</v>
      </c>
      <c r="G357" s="20">
        <f t="shared" si="64"/>
        <v>0</v>
      </c>
      <c r="H357" s="20">
        <f t="shared" si="64"/>
        <v>0</v>
      </c>
      <c r="I357" s="20">
        <f t="shared" si="64"/>
        <v>0</v>
      </c>
      <c r="J357" s="20">
        <f>J281+J288+J312+J316+J331</f>
        <v>0</v>
      </c>
      <c r="K357" s="20">
        <f t="shared" si="64"/>
        <v>0</v>
      </c>
      <c r="L357" s="206"/>
      <c r="M357" s="143"/>
    </row>
    <row r="358" spans="1:13" s="38" customFormat="1" ht="24.75" customHeight="1">
      <c r="A358" s="501"/>
      <c r="B358" s="452"/>
      <c r="C358" s="453"/>
      <c r="D358" s="6">
        <v>2022</v>
      </c>
      <c r="E358" s="20">
        <f aca="true" t="shared" si="65" ref="E358:K358">E283+E313+E317+E332</f>
        <v>0</v>
      </c>
      <c r="F358" s="20">
        <f t="shared" si="65"/>
        <v>0</v>
      </c>
      <c r="G358" s="20">
        <f t="shared" si="65"/>
        <v>0</v>
      </c>
      <c r="H358" s="20">
        <f t="shared" si="65"/>
        <v>0</v>
      </c>
      <c r="I358" s="20">
        <f t="shared" si="65"/>
        <v>0</v>
      </c>
      <c r="J358" s="20">
        <f>J283+J313+J317+J332</f>
        <v>0</v>
      </c>
      <c r="K358" s="20">
        <f t="shared" si="65"/>
        <v>0</v>
      </c>
      <c r="L358" s="206"/>
      <c r="M358" s="143"/>
    </row>
    <row r="359" spans="1:13" s="38" customFormat="1" ht="24.75" customHeight="1" thickBot="1">
      <c r="A359" s="502"/>
      <c r="B359" s="454"/>
      <c r="C359" s="455"/>
      <c r="D359" s="34">
        <v>2023</v>
      </c>
      <c r="E359" s="521">
        <v>0</v>
      </c>
      <c r="F359" s="521">
        <v>0</v>
      </c>
      <c r="G359" s="521"/>
      <c r="H359" s="521">
        <v>0</v>
      </c>
      <c r="I359" s="521">
        <v>0</v>
      </c>
      <c r="J359" s="521">
        <v>0</v>
      </c>
      <c r="K359" s="521">
        <v>0</v>
      </c>
      <c r="L359" s="207"/>
      <c r="M359" s="143"/>
    </row>
    <row r="360" spans="1:13" s="38" customFormat="1" ht="27" customHeight="1">
      <c r="A360" s="491" t="s">
        <v>99</v>
      </c>
      <c r="B360" s="358"/>
      <c r="C360" s="358"/>
      <c r="D360" s="358"/>
      <c r="E360" s="358"/>
      <c r="F360" s="358"/>
      <c r="G360" s="358"/>
      <c r="H360" s="358"/>
      <c r="I360" s="358"/>
      <c r="J360" s="358"/>
      <c r="K360" s="358"/>
      <c r="L360" s="358"/>
      <c r="M360" s="359"/>
    </row>
    <row r="361" spans="1:13" s="38" customFormat="1" ht="29.25" customHeight="1">
      <c r="A361" s="423" t="s">
        <v>56</v>
      </c>
      <c r="B361" s="424"/>
      <c r="C361" s="424"/>
      <c r="D361" s="424"/>
      <c r="E361" s="424"/>
      <c r="F361" s="424"/>
      <c r="G361" s="424"/>
      <c r="H361" s="424"/>
      <c r="I361" s="424"/>
      <c r="J361" s="424"/>
      <c r="K361" s="424"/>
      <c r="L361" s="425"/>
      <c r="M361" s="426"/>
    </row>
    <row r="362" spans="1:13" s="38" customFormat="1" ht="27" customHeight="1">
      <c r="A362" s="423" t="s">
        <v>135</v>
      </c>
      <c r="B362" s="424"/>
      <c r="C362" s="424"/>
      <c r="D362" s="424"/>
      <c r="E362" s="424"/>
      <c r="F362" s="424"/>
      <c r="G362" s="424"/>
      <c r="H362" s="424"/>
      <c r="I362" s="424"/>
      <c r="J362" s="424"/>
      <c r="K362" s="435"/>
      <c r="L362" s="7"/>
      <c r="M362" s="12"/>
    </row>
    <row r="363" spans="1:13" s="38" customFormat="1" ht="49.5" customHeight="1">
      <c r="A363" s="312" t="s">
        <v>84</v>
      </c>
      <c r="B363" s="427" t="s">
        <v>136</v>
      </c>
      <c r="C363" s="428"/>
      <c r="D363" s="3">
        <v>2017</v>
      </c>
      <c r="E363" s="21">
        <f aca="true" t="shared" si="66" ref="E363:E372">F363+G363+J363+K363</f>
        <v>200580.416</v>
      </c>
      <c r="F363" s="21">
        <f>F364+F365+F366+F368+F369+F370+F371</f>
        <v>124615.2</v>
      </c>
      <c r="G363" s="13">
        <f>H363+I363</f>
        <v>727</v>
      </c>
      <c r="H363" s="13">
        <f>H364+H365+H366+H368+H369+H370+H371</f>
        <v>0</v>
      </c>
      <c r="I363" s="13">
        <f>I364+I365+I366+I368+I369+I370+I371</f>
        <v>727</v>
      </c>
      <c r="J363" s="13">
        <f>J364+J365+J366+J368+J369+J370+J371</f>
        <v>75238.216</v>
      </c>
      <c r="K363" s="13">
        <f>K364+K365+K366+K368+K369+K370+K371</f>
        <v>0</v>
      </c>
      <c r="L363" s="7"/>
      <c r="M363" s="291" t="s">
        <v>65</v>
      </c>
    </row>
    <row r="364" spans="1:13" s="38" customFormat="1" ht="27" customHeight="1">
      <c r="A364" s="312"/>
      <c r="B364" s="429"/>
      <c r="C364" s="430"/>
      <c r="D364" s="26"/>
      <c r="E364" s="21">
        <f t="shared" si="66"/>
        <v>64776.86</v>
      </c>
      <c r="F364" s="10">
        <v>54731.8</v>
      </c>
      <c r="G364" s="14">
        <f>H364+I364</f>
        <v>0</v>
      </c>
      <c r="H364" s="10"/>
      <c r="I364" s="10"/>
      <c r="J364" s="10">
        <v>10045.06</v>
      </c>
      <c r="K364" s="11">
        <v>0</v>
      </c>
      <c r="L364" s="210" t="s">
        <v>10</v>
      </c>
      <c r="M364" s="291"/>
    </row>
    <row r="365" spans="1:13" s="38" customFormat="1" ht="27" customHeight="1">
      <c r="A365" s="312"/>
      <c r="B365" s="429"/>
      <c r="C365" s="430"/>
      <c r="D365" s="6"/>
      <c r="E365" s="21">
        <f t="shared" si="66"/>
        <v>20018.813</v>
      </c>
      <c r="F365" s="10"/>
      <c r="G365" s="14">
        <f aca="true" t="shared" si="67" ref="G365:G371">H365+I365</f>
        <v>0</v>
      </c>
      <c r="H365" s="10"/>
      <c r="I365" s="10"/>
      <c r="J365" s="10">
        <v>20018.813</v>
      </c>
      <c r="K365" s="11">
        <v>0</v>
      </c>
      <c r="L365" s="210" t="s">
        <v>29</v>
      </c>
      <c r="M365" s="291"/>
    </row>
    <row r="366" spans="1:13" s="38" customFormat="1" ht="27" customHeight="1">
      <c r="A366" s="312"/>
      <c r="B366" s="429"/>
      <c r="C366" s="430"/>
      <c r="D366" s="6"/>
      <c r="E366" s="21">
        <f t="shared" si="66"/>
        <v>13226.366</v>
      </c>
      <c r="F366" s="10"/>
      <c r="G366" s="14">
        <f t="shared" si="67"/>
        <v>0</v>
      </c>
      <c r="H366" s="10"/>
      <c r="I366" s="10"/>
      <c r="J366" s="10">
        <v>13226.366</v>
      </c>
      <c r="K366" s="11">
        <v>0</v>
      </c>
      <c r="L366" s="210" t="s">
        <v>30</v>
      </c>
      <c r="M366" s="291"/>
    </row>
    <row r="367" spans="1:13" s="38" customFormat="1" ht="27" customHeight="1">
      <c r="A367" s="312"/>
      <c r="B367" s="429"/>
      <c r="C367" s="430"/>
      <c r="D367" s="6"/>
      <c r="E367" s="21"/>
      <c r="F367" s="10"/>
      <c r="G367" s="14"/>
      <c r="H367" s="10"/>
      <c r="I367" s="10"/>
      <c r="J367" s="10"/>
      <c r="K367" s="11"/>
      <c r="L367" s="210"/>
      <c r="M367" s="291"/>
    </row>
    <row r="368" spans="1:13" s="38" customFormat="1" ht="27" customHeight="1">
      <c r="A368" s="312"/>
      <c r="B368" s="429"/>
      <c r="C368" s="430"/>
      <c r="D368" s="6"/>
      <c r="E368" s="21">
        <f t="shared" si="66"/>
        <v>77631.458</v>
      </c>
      <c r="F368" s="10">
        <v>69883.4</v>
      </c>
      <c r="G368" s="14">
        <f t="shared" si="67"/>
        <v>0</v>
      </c>
      <c r="H368" s="10"/>
      <c r="I368" s="10"/>
      <c r="J368" s="10">
        <v>7748.058</v>
      </c>
      <c r="K368" s="11">
        <v>0</v>
      </c>
      <c r="L368" s="210" t="s">
        <v>31</v>
      </c>
      <c r="M368" s="291"/>
    </row>
    <row r="369" spans="1:13" s="38" customFormat="1" ht="29.25" customHeight="1">
      <c r="A369" s="312"/>
      <c r="B369" s="429"/>
      <c r="C369" s="430"/>
      <c r="D369" s="6"/>
      <c r="E369" s="21">
        <f t="shared" si="66"/>
        <v>8225.922</v>
      </c>
      <c r="F369" s="8"/>
      <c r="G369" s="14">
        <f t="shared" si="67"/>
        <v>0</v>
      </c>
      <c r="H369" s="10"/>
      <c r="I369" s="10"/>
      <c r="J369" s="10">
        <v>8225.922</v>
      </c>
      <c r="K369" s="11">
        <v>0</v>
      </c>
      <c r="L369" s="210" t="s">
        <v>17</v>
      </c>
      <c r="M369" s="291"/>
    </row>
    <row r="370" spans="1:13" s="38" customFormat="1" ht="32.25" customHeight="1">
      <c r="A370" s="312"/>
      <c r="B370" s="429"/>
      <c r="C370" s="430"/>
      <c r="D370" s="6"/>
      <c r="E370" s="21">
        <f t="shared" si="66"/>
        <v>11386.085</v>
      </c>
      <c r="F370" s="8"/>
      <c r="G370" s="14">
        <f t="shared" si="67"/>
        <v>0</v>
      </c>
      <c r="H370" s="10"/>
      <c r="I370" s="10"/>
      <c r="J370" s="10">
        <v>11386.085</v>
      </c>
      <c r="K370" s="11">
        <v>0</v>
      </c>
      <c r="L370" s="210" t="s">
        <v>32</v>
      </c>
      <c r="M370" s="291"/>
    </row>
    <row r="371" spans="1:13" s="38" customFormat="1" ht="54" customHeight="1">
      <c r="A371" s="312"/>
      <c r="B371" s="429"/>
      <c r="C371" s="430"/>
      <c r="D371" s="6"/>
      <c r="E371" s="21">
        <f t="shared" si="66"/>
        <v>5314.912</v>
      </c>
      <c r="F371" s="8"/>
      <c r="G371" s="14">
        <f t="shared" si="67"/>
        <v>727</v>
      </c>
      <c r="H371" s="10">
        <v>0</v>
      </c>
      <c r="I371" s="10">
        <v>727</v>
      </c>
      <c r="J371" s="10">
        <f>5287.912-700</f>
        <v>4587.912</v>
      </c>
      <c r="K371" s="11">
        <v>0</v>
      </c>
      <c r="L371" s="210" t="s">
        <v>35</v>
      </c>
      <c r="M371" s="291"/>
    </row>
    <row r="372" spans="1:13" s="38" customFormat="1" ht="28.5" customHeight="1">
      <c r="A372" s="312"/>
      <c r="B372" s="431"/>
      <c r="C372" s="432"/>
      <c r="D372" s="6">
        <v>2017</v>
      </c>
      <c r="E372" s="21">
        <f t="shared" si="66"/>
        <v>16200</v>
      </c>
      <c r="F372" s="22"/>
      <c r="G372" s="22">
        <f>H372+I372</f>
        <v>0</v>
      </c>
      <c r="H372" s="22">
        <v>0</v>
      </c>
      <c r="I372" s="22">
        <v>0</v>
      </c>
      <c r="J372" s="22">
        <v>16200</v>
      </c>
      <c r="K372" s="22">
        <v>0</v>
      </c>
      <c r="L372" s="210" t="s">
        <v>39</v>
      </c>
      <c r="M372" s="291"/>
    </row>
    <row r="373" spans="1:13" s="38" customFormat="1" ht="27" customHeight="1" hidden="1" thickBot="1">
      <c r="A373" s="42"/>
      <c r="B373" s="23"/>
      <c r="C373" s="23"/>
      <c r="D373" s="6"/>
      <c r="E373" s="21">
        <f>F373+G373+J373+K373</f>
        <v>0</v>
      </c>
      <c r="F373" s="22"/>
      <c r="G373" s="22"/>
      <c r="H373" s="22"/>
      <c r="I373" s="22"/>
      <c r="J373" s="10"/>
      <c r="K373" s="10"/>
      <c r="L373" s="2"/>
      <c r="M373" s="291"/>
    </row>
    <row r="374" spans="1:13" s="38" customFormat="1" ht="24.75" customHeight="1">
      <c r="A374" s="467" t="s">
        <v>85</v>
      </c>
      <c r="B374" s="461" t="s">
        <v>86</v>
      </c>
      <c r="C374" s="462"/>
      <c r="D374" s="257">
        <v>2018</v>
      </c>
      <c r="E374" s="21">
        <f>F374+G374+J374+K374</f>
        <v>209116.99978</v>
      </c>
      <c r="F374" s="21">
        <f>SUM(F375:F381)</f>
        <v>137344.5</v>
      </c>
      <c r="G374" s="21">
        <f>H374+I374</f>
        <v>1006.9820000000001</v>
      </c>
      <c r="H374" s="21">
        <f>H375+H376+H377+H378+H379+H380+H381</f>
        <v>0</v>
      </c>
      <c r="I374" s="21">
        <f>SUM(I375:I381)</f>
        <v>1006.9820000000001</v>
      </c>
      <c r="J374" s="21">
        <f>J375+J376+J377+J378+J379+J380+J381</f>
        <v>70765.51778000001</v>
      </c>
      <c r="K374" s="22">
        <v>0</v>
      </c>
      <c r="L374" s="2"/>
      <c r="M374" s="291"/>
    </row>
    <row r="375" spans="1:13" s="38" customFormat="1" ht="24.75" customHeight="1">
      <c r="A375" s="468"/>
      <c r="B375" s="463"/>
      <c r="C375" s="464"/>
      <c r="D375" s="257"/>
      <c r="E375" s="21">
        <f aca="true" t="shared" si="68" ref="E375:E387">F375+G375+J375+K375</f>
        <v>23993.106</v>
      </c>
      <c r="F375" s="8">
        <f>13666.243+401.723+232.4</f>
        <v>14300.366</v>
      </c>
      <c r="G375" s="21">
        <f>H375+I375</f>
        <v>0</v>
      </c>
      <c r="H375" s="8"/>
      <c r="I375" s="27"/>
      <c r="J375" s="8">
        <f>9852.084+390.21-2100+341.676+175.77+33+1000</f>
        <v>9692.74</v>
      </c>
      <c r="K375" s="10">
        <v>0</v>
      </c>
      <c r="L375" s="210" t="s">
        <v>10</v>
      </c>
      <c r="M375" s="291"/>
    </row>
    <row r="376" spans="1:13" s="38" customFormat="1" ht="24.75" customHeight="1">
      <c r="A376" s="468"/>
      <c r="B376" s="463"/>
      <c r="C376" s="464"/>
      <c r="D376" s="257"/>
      <c r="E376" s="21">
        <f t="shared" si="68"/>
        <v>50093.08377</v>
      </c>
      <c r="F376" s="8">
        <f>29992.565+858.854</f>
        <v>30851.418999999998</v>
      </c>
      <c r="G376" s="21">
        <f aca="true" t="shared" si="69" ref="G376:G381">H376+I376</f>
        <v>0</v>
      </c>
      <c r="H376" s="8"/>
      <c r="I376" s="27"/>
      <c r="J376" s="8">
        <f>20130.966+919.02-4300+766.8+389.718+170+1165.16077</f>
        <v>19241.66477</v>
      </c>
      <c r="K376" s="10">
        <v>0</v>
      </c>
      <c r="L376" s="210" t="s">
        <v>29</v>
      </c>
      <c r="M376" s="291"/>
    </row>
    <row r="377" spans="1:13" s="38" customFormat="1" ht="24.75" customHeight="1">
      <c r="A377" s="468"/>
      <c r="B377" s="463"/>
      <c r="C377" s="464"/>
      <c r="D377" s="257"/>
      <c r="E377" s="21">
        <f t="shared" si="68"/>
        <v>28049.476</v>
      </c>
      <c r="F377" s="8">
        <f>14985.192+401.723</f>
        <v>15386.914999999999</v>
      </c>
      <c r="G377" s="21">
        <f t="shared" si="69"/>
        <v>0</v>
      </c>
      <c r="H377" s="8"/>
      <c r="I377" s="27"/>
      <c r="J377" s="8">
        <f>13529.638+429.793-2900+367.83+195.3+40+1000</f>
        <v>12662.561</v>
      </c>
      <c r="K377" s="10">
        <v>0</v>
      </c>
      <c r="L377" s="210" t="s">
        <v>30</v>
      </c>
      <c r="M377" s="291"/>
    </row>
    <row r="378" spans="1:13" s="38" customFormat="1" ht="24.75" customHeight="1">
      <c r="A378" s="468"/>
      <c r="B378" s="463"/>
      <c r="C378" s="464"/>
      <c r="D378" s="257"/>
      <c r="E378" s="21">
        <f t="shared" si="68"/>
        <v>42507.873999999996</v>
      </c>
      <c r="F378" s="8">
        <f>30680.494+2764.647+1578.681</f>
        <v>35023.82199999999</v>
      </c>
      <c r="G378" s="21">
        <f t="shared" si="69"/>
        <v>0</v>
      </c>
      <c r="H378" s="8"/>
      <c r="I378" s="27"/>
      <c r="J378" s="8">
        <f>8048.81-1700+345.242-210+1000</f>
        <v>7484.052000000001</v>
      </c>
      <c r="K378" s="10">
        <v>0</v>
      </c>
      <c r="L378" s="210" t="s">
        <v>31</v>
      </c>
      <c r="M378" s="291"/>
    </row>
    <row r="379" spans="1:13" s="38" customFormat="1" ht="24.75" customHeight="1">
      <c r="A379" s="468"/>
      <c r="B379" s="463"/>
      <c r="C379" s="464"/>
      <c r="D379" s="257"/>
      <c r="E379" s="21">
        <f t="shared" si="68"/>
        <v>50010.63799999999</v>
      </c>
      <c r="F379" s="8">
        <f>39719.506+177.753+1884.719</f>
        <v>41781.977999999996</v>
      </c>
      <c r="G379" s="21">
        <f t="shared" si="69"/>
        <v>0</v>
      </c>
      <c r="H379" s="8"/>
      <c r="I379" s="27"/>
      <c r="J379" s="8">
        <f>8631.55-1800+397.11+1000</f>
        <v>8228.66</v>
      </c>
      <c r="K379" s="10">
        <v>0</v>
      </c>
      <c r="L379" s="210" t="s">
        <v>17</v>
      </c>
      <c r="M379" s="291"/>
    </row>
    <row r="380" spans="1:13" s="38" customFormat="1" ht="24.75" customHeight="1">
      <c r="A380" s="468"/>
      <c r="B380" s="463"/>
      <c r="C380" s="464"/>
      <c r="D380" s="257"/>
      <c r="E380" s="21">
        <f t="shared" si="68"/>
        <v>9699.46648</v>
      </c>
      <c r="F380" s="21"/>
      <c r="G380" s="21">
        <f t="shared" si="69"/>
        <v>1006.9820000000001</v>
      </c>
      <c r="H380" s="8">
        <v>0</v>
      </c>
      <c r="I380" s="8">
        <f>607.273+227.345+172.364</f>
        <v>1006.9820000000001</v>
      </c>
      <c r="J380" s="8">
        <f>10509.141+105.556-2200-617.733+133+762.52048</f>
        <v>8692.48448</v>
      </c>
      <c r="K380" s="10">
        <v>0</v>
      </c>
      <c r="L380" s="210" t="s">
        <v>32</v>
      </c>
      <c r="M380" s="291"/>
    </row>
    <row r="381" spans="1:13" s="38" customFormat="1" ht="35.25" customHeight="1">
      <c r="A381" s="468"/>
      <c r="B381" s="463"/>
      <c r="C381" s="464"/>
      <c r="D381" s="257"/>
      <c r="E381" s="21">
        <f t="shared" si="68"/>
        <v>4763.355530000001</v>
      </c>
      <c r="F381" s="21"/>
      <c r="G381" s="21">
        <f t="shared" si="69"/>
        <v>0</v>
      </c>
      <c r="H381" s="8"/>
      <c r="I381" s="8">
        <v>0</v>
      </c>
      <c r="J381" s="8">
        <f>4700.622+104.16-92.24918+50.82271</f>
        <v>4763.355530000001</v>
      </c>
      <c r="K381" s="10">
        <v>0</v>
      </c>
      <c r="L381" s="210" t="s">
        <v>54</v>
      </c>
      <c r="M381" s="291"/>
    </row>
    <row r="382" spans="1:13" s="38" customFormat="1" ht="24.75" customHeight="1">
      <c r="A382" s="468"/>
      <c r="B382" s="463"/>
      <c r="C382" s="464"/>
      <c r="D382" s="257">
        <v>2018</v>
      </c>
      <c r="E382" s="21">
        <f t="shared" si="68"/>
        <v>0</v>
      </c>
      <c r="F382" s="21">
        <f>SUM(F383:F387)</f>
        <v>0</v>
      </c>
      <c r="G382" s="21">
        <f>SUM(G383:G387)</f>
        <v>0</v>
      </c>
      <c r="H382" s="21">
        <f>SUM(H383:H387)</f>
        <v>0</v>
      </c>
      <c r="I382" s="21">
        <f>SUM(I383:I387)</f>
        <v>0</v>
      </c>
      <c r="J382" s="21">
        <f>SUM(J383:J387)</f>
        <v>0</v>
      </c>
      <c r="K382" s="22"/>
      <c r="L382" s="211"/>
      <c r="M382" s="291"/>
    </row>
    <row r="383" spans="1:13" s="38" customFormat="1" ht="24.75" customHeight="1">
      <c r="A383" s="468"/>
      <c r="B383" s="463"/>
      <c r="C383" s="464"/>
      <c r="D383" s="257"/>
      <c r="E383" s="21">
        <f t="shared" si="68"/>
        <v>0</v>
      </c>
      <c r="F383" s="9"/>
      <c r="G383" s="21">
        <f aca="true" t="shared" si="70" ref="G383:G397">H383+I383</f>
        <v>0</v>
      </c>
      <c r="H383" s="8"/>
      <c r="I383" s="8"/>
      <c r="J383" s="8">
        <v>0</v>
      </c>
      <c r="K383" s="10"/>
      <c r="L383" s="210" t="s">
        <v>10</v>
      </c>
      <c r="M383" s="291"/>
    </row>
    <row r="384" spans="1:13" s="38" customFormat="1" ht="24.75" customHeight="1">
      <c r="A384" s="468"/>
      <c r="B384" s="463"/>
      <c r="C384" s="464"/>
      <c r="D384" s="257"/>
      <c r="E384" s="21">
        <f t="shared" si="68"/>
        <v>0</v>
      </c>
      <c r="F384" s="9"/>
      <c r="G384" s="21">
        <f t="shared" si="70"/>
        <v>0</v>
      </c>
      <c r="H384" s="8"/>
      <c r="I384" s="8"/>
      <c r="J384" s="8">
        <v>0</v>
      </c>
      <c r="K384" s="10"/>
      <c r="L384" s="210" t="s">
        <v>29</v>
      </c>
      <c r="M384" s="291"/>
    </row>
    <row r="385" spans="1:13" s="38" customFormat="1" ht="24.75" customHeight="1">
      <c r="A385" s="468"/>
      <c r="B385" s="463"/>
      <c r="C385" s="464"/>
      <c r="D385" s="257"/>
      <c r="E385" s="21">
        <f t="shared" si="68"/>
        <v>0</v>
      </c>
      <c r="F385" s="9"/>
      <c r="G385" s="21">
        <f t="shared" si="70"/>
        <v>0</v>
      </c>
      <c r="H385" s="8"/>
      <c r="I385" s="8"/>
      <c r="J385" s="8">
        <v>0</v>
      </c>
      <c r="K385" s="10"/>
      <c r="L385" s="210" t="s">
        <v>30</v>
      </c>
      <c r="M385" s="291"/>
    </row>
    <row r="386" spans="1:13" s="38" customFormat="1" ht="24.75" customHeight="1">
      <c r="A386" s="468"/>
      <c r="B386" s="463"/>
      <c r="C386" s="464"/>
      <c r="D386" s="257"/>
      <c r="E386" s="21">
        <f t="shared" si="68"/>
        <v>0</v>
      </c>
      <c r="F386" s="9"/>
      <c r="G386" s="21">
        <f t="shared" si="70"/>
        <v>0</v>
      </c>
      <c r="H386" s="8"/>
      <c r="I386" s="8"/>
      <c r="J386" s="8">
        <v>0</v>
      </c>
      <c r="K386" s="10"/>
      <c r="L386" s="210" t="s">
        <v>31</v>
      </c>
      <c r="M386" s="291"/>
    </row>
    <row r="387" spans="1:13" s="38" customFormat="1" ht="24.75" customHeight="1" thickBot="1">
      <c r="A387" s="468"/>
      <c r="B387" s="463"/>
      <c r="C387" s="464"/>
      <c r="D387" s="257"/>
      <c r="E387" s="167">
        <f t="shared" si="68"/>
        <v>0</v>
      </c>
      <c r="F387" s="168"/>
      <c r="G387" s="167">
        <f t="shared" si="70"/>
        <v>0</v>
      </c>
      <c r="H387" s="169"/>
      <c r="I387" s="169"/>
      <c r="J387" s="169">
        <v>0</v>
      </c>
      <c r="K387" s="157"/>
      <c r="L387" s="212" t="s">
        <v>17</v>
      </c>
      <c r="M387" s="291"/>
    </row>
    <row r="388" spans="1:13" s="38" customFormat="1" ht="24.75" customHeight="1" thickBot="1">
      <c r="A388" s="468"/>
      <c r="B388" s="463"/>
      <c r="C388" s="464"/>
      <c r="D388" s="434">
        <v>2019</v>
      </c>
      <c r="E388" s="166">
        <f>F388+G388+J388+K388</f>
        <v>229770.53044</v>
      </c>
      <c r="F388" s="161">
        <f>SUM(F389:F397)</f>
        <v>150533.8</v>
      </c>
      <c r="G388" s="161">
        <f t="shared" si="70"/>
        <v>1276.052</v>
      </c>
      <c r="H388" s="161">
        <f>H389+H390+H391+H392+H393+H395+H397</f>
        <v>0</v>
      </c>
      <c r="I388" s="161">
        <f>I389+I390+I391+I392+I393+I395+I397</f>
        <v>1276.052</v>
      </c>
      <c r="J388" s="161">
        <f>SUM(J389:J397)</f>
        <v>77960.67844000002</v>
      </c>
      <c r="K388" s="161">
        <f>SUM(K389:K397)</f>
        <v>0</v>
      </c>
      <c r="L388" s="213"/>
      <c r="M388" s="336"/>
    </row>
    <row r="389" spans="1:13" s="38" customFormat="1" ht="24.75" customHeight="1">
      <c r="A389" s="468"/>
      <c r="B389" s="463"/>
      <c r="C389" s="464"/>
      <c r="D389" s="257"/>
      <c r="E389" s="164">
        <f aca="true" t="shared" si="71" ref="E389:E407">F389+G389+J389+K389</f>
        <v>24241.684</v>
      </c>
      <c r="F389" s="164">
        <f>13252.661+1120.6</f>
        <v>14373.261</v>
      </c>
      <c r="G389" s="164">
        <f t="shared" si="70"/>
        <v>0</v>
      </c>
      <c r="H389" s="164"/>
      <c r="I389" s="164"/>
      <c r="J389" s="164">
        <f>9770.96256+1.65244--30+65.808</f>
        <v>9868.423</v>
      </c>
      <c r="K389" s="164">
        <v>0</v>
      </c>
      <c r="L389" s="214" t="s">
        <v>10</v>
      </c>
      <c r="M389" s="291"/>
    </row>
    <row r="390" spans="1:13" s="38" customFormat="1" ht="24.75" customHeight="1">
      <c r="A390" s="468"/>
      <c r="B390" s="463"/>
      <c r="C390" s="464"/>
      <c r="D390" s="257"/>
      <c r="E390" s="10">
        <f t="shared" si="71"/>
        <v>49871.14725</v>
      </c>
      <c r="F390" s="10">
        <f>29522.977-533.6</f>
        <v>28989.377</v>
      </c>
      <c r="G390" s="10">
        <f t="shared" si="70"/>
        <v>0</v>
      </c>
      <c r="H390" s="10"/>
      <c r="I390" s="10"/>
      <c r="J390" s="10">
        <f>20596.83525-30+314.935</f>
        <v>20881.77025</v>
      </c>
      <c r="K390" s="10">
        <v>0</v>
      </c>
      <c r="L390" s="210" t="s">
        <v>29</v>
      </c>
      <c r="M390" s="291"/>
    </row>
    <row r="391" spans="1:13" s="38" customFormat="1" ht="24.75" customHeight="1">
      <c r="A391" s="468"/>
      <c r="B391" s="463"/>
      <c r="C391" s="464"/>
      <c r="D391" s="257"/>
      <c r="E391" s="10">
        <f t="shared" si="71"/>
        <v>29872.57956</v>
      </c>
      <c r="F391" s="10">
        <f>15424.362+117.4</f>
        <v>15541.761999999999</v>
      </c>
      <c r="G391" s="10">
        <f t="shared" si="70"/>
        <v>0</v>
      </c>
      <c r="H391" s="10"/>
      <c r="I391" s="10"/>
      <c r="J391" s="10">
        <f>12530.84+998.142-1.65244+803.488</f>
        <v>14330.81756</v>
      </c>
      <c r="K391" s="10">
        <v>0</v>
      </c>
      <c r="L391" s="210" t="s">
        <v>30</v>
      </c>
      <c r="M391" s="291"/>
    </row>
    <row r="392" spans="1:13" s="38" customFormat="1" ht="24.75" customHeight="1">
      <c r="A392" s="468"/>
      <c r="B392" s="463"/>
      <c r="C392" s="464"/>
      <c r="D392" s="257"/>
      <c r="E392" s="10">
        <f t="shared" si="71"/>
        <v>49171.80562000001</v>
      </c>
      <c r="F392" s="10">
        <f>39746.014+486.427+1812.116</f>
        <v>42044.55700000001</v>
      </c>
      <c r="G392" s="10">
        <f t="shared" si="70"/>
        <v>0</v>
      </c>
      <c r="H392" s="10"/>
      <c r="I392" s="10"/>
      <c r="J392" s="10">
        <f>6993.76062+133.488</f>
        <v>7127.24862</v>
      </c>
      <c r="K392" s="10">
        <v>0</v>
      </c>
      <c r="L392" s="210" t="s">
        <v>31</v>
      </c>
      <c r="M392" s="291"/>
    </row>
    <row r="393" spans="1:13" s="38" customFormat="1" ht="24.75" customHeight="1">
      <c r="A393" s="468"/>
      <c r="B393" s="463"/>
      <c r="C393" s="464"/>
      <c r="D393" s="257"/>
      <c r="E393" s="10">
        <f t="shared" si="71"/>
        <v>57432.95017</v>
      </c>
      <c r="F393" s="10">
        <f>46911.986+528.073+2144.784</f>
        <v>49584.84299999999</v>
      </c>
      <c r="G393" s="10">
        <f t="shared" si="70"/>
        <v>0</v>
      </c>
      <c r="H393" s="10"/>
      <c r="I393" s="10"/>
      <c r="J393" s="10">
        <f>7595.99717+252.11</f>
        <v>7848.107169999999</v>
      </c>
      <c r="K393" s="10">
        <v>0</v>
      </c>
      <c r="L393" s="210" t="s">
        <v>17</v>
      </c>
      <c r="M393" s="291"/>
    </row>
    <row r="394" spans="1:13" s="38" customFormat="1" ht="24.75" customHeight="1">
      <c r="A394" s="468"/>
      <c r="B394" s="463"/>
      <c r="C394" s="464"/>
      <c r="D394" s="257"/>
      <c r="E394" s="10">
        <f t="shared" si="71"/>
        <v>5966.100090000001</v>
      </c>
      <c r="F394" s="10">
        <v>0</v>
      </c>
      <c r="G394" s="10">
        <f t="shared" si="70"/>
        <v>0</v>
      </c>
      <c r="H394" s="10"/>
      <c r="I394" s="10"/>
      <c r="J394" s="10">
        <f>4712.3+667.168+264.33597+127.27612+136.43+58.59</f>
        <v>5966.100090000001</v>
      </c>
      <c r="K394" s="10">
        <v>0</v>
      </c>
      <c r="L394" s="2" t="s">
        <v>152</v>
      </c>
      <c r="M394" s="291"/>
    </row>
    <row r="395" spans="1:13" s="38" customFormat="1" ht="24.75" customHeight="1">
      <c r="A395" s="468"/>
      <c r="B395" s="463"/>
      <c r="C395" s="464"/>
      <c r="D395" s="257"/>
      <c r="E395" s="10">
        <f t="shared" si="71"/>
        <v>5395.09146</v>
      </c>
      <c r="F395" s="10">
        <v>0</v>
      </c>
      <c r="G395" s="10">
        <f t="shared" si="70"/>
        <v>0</v>
      </c>
      <c r="H395" s="10"/>
      <c r="I395" s="10"/>
      <c r="J395" s="10">
        <f>5746.63146-351.54</f>
        <v>5395.09146</v>
      </c>
      <c r="K395" s="10">
        <v>0</v>
      </c>
      <c r="L395" s="2" t="s">
        <v>151</v>
      </c>
      <c r="M395" s="291"/>
    </row>
    <row r="396" spans="1:13" s="38" customFormat="1" ht="24.75" customHeight="1">
      <c r="A396" s="468"/>
      <c r="B396" s="463"/>
      <c r="C396" s="464"/>
      <c r="D396" s="257"/>
      <c r="E396" s="10">
        <f t="shared" si="71"/>
        <v>59.5</v>
      </c>
      <c r="F396" s="10">
        <v>0</v>
      </c>
      <c r="G396" s="10">
        <f t="shared" si="70"/>
        <v>0</v>
      </c>
      <c r="H396" s="10"/>
      <c r="I396" s="10"/>
      <c r="J396" s="10">
        <v>59.5</v>
      </c>
      <c r="K396" s="10">
        <v>0</v>
      </c>
      <c r="L396" s="2" t="s">
        <v>207</v>
      </c>
      <c r="M396" s="291"/>
    </row>
    <row r="397" spans="1:13" s="38" customFormat="1" ht="36" customHeight="1" thickBot="1">
      <c r="A397" s="468"/>
      <c r="B397" s="463"/>
      <c r="C397" s="464"/>
      <c r="D397" s="257"/>
      <c r="E397" s="157">
        <f t="shared" si="71"/>
        <v>7759.672289999999</v>
      </c>
      <c r="F397" s="157">
        <v>0</v>
      </c>
      <c r="G397" s="157">
        <f t="shared" si="70"/>
        <v>1276.052</v>
      </c>
      <c r="H397" s="157"/>
      <c r="I397" s="157">
        <f>1139.636+136.416</f>
        <v>1276.052</v>
      </c>
      <c r="J397" s="157">
        <f>5849.69929-59.5+585.9+107.521</f>
        <v>6483.620289999999</v>
      </c>
      <c r="K397" s="157">
        <v>0</v>
      </c>
      <c r="L397" s="30" t="s">
        <v>54</v>
      </c>
      <c r="M397" s="291"/>
    </row>
    <row r="398" spans="1:13" s="38" customFormat="1" ht="27" customHeight="1" thickBot="1">
      <c r="A398" s="468"/>
      <c r="B398" s="463"/>
      <c r="C398" s="464"/>
      <c r="D398" s="434">
        <v>2020</v>
      </c>
      <c r="E398" s="166">
        <f t="shared" si="71"/>
        <v>235602.07301</v>
      </c>
      <c r="F398" s="161">
        <f aca="true" t="shared" si="72" ref="F398:K398">SUM(F399:F407)</f>
        <v>151107</v>
      </c>
      <c r="G398" s="161">
        <f t="shared" si="72"/>
        <v>1271</v>
      </c>
      <c r="H398" s="161">
        <f t="shared" si="72"/>
        <v>0</v>
      </c>
      <c r="I398" s="161">
        <f t="shared" si="72"/>
        <v>1271</v>
      </c>
      <c r="J398" s="161">
        <f t="shared" si="72"/>
        <v>83224.07301000001</v>
      </c>
      <c r="K398" s="161">
        <f t="shared" si="72"/>
        <v>0</v>
      </c>
      <c r="L398" s="165"/>
      <c r="M398" s="336"/>
    </row>
    <row r="399" spans="1:13" s="38" customFormat="1" ht="33.75" customHeight="1">
      <c r="A399" s="468"/>
      <c r="B399" s="463"/>
      <c r="C399" s="464"/>
      <c r="D399" s="257"/>
      <c r="E399" s="164">
        <f t="shared" si="71"/>
        <v>24429.962</v>
      </c>
      <c r="F399" s="164">
        <f>14700-1292.529</f>
        <v>13407.471</v>
      </c>
      <c r="G399" s="164">
        <f>H399+I399</f>
        <v>0</v>
      </c>
      <c r="H399" s="164"/>
      <c r="I399" s="164"/>
      <c r="J399" s="522">
        <f>10684.932+359.399-21.84</f>
        <v>11022.491</v>
      </c>
      <c r="K399" s="164">
        <v>0</v>
      </c>
      <c r="L399" s="65" t="s">
        <v>296</v>
      </c>
      <c r="M399" s="291"/>
    </row>
    <row r="400" spans="1:13" s="38" customFormat="1" ht="39.75" customHeight="1">
      <c r="A400" s="468"/>
      <c r="B400" s="463"/>
      <c r="C400" s="464"/>
      <c r="D400" s="257"/>
      <c r="E400" s="10">
        <f t="shared" si="71"/>
        <v>52751.153000000006</v>
      </c>
      <c r="F400" s="10">
        <f>30246-286.376</f>
        <v>29959.624</v>
      </c>
      <c r="G400" s="10">
        <f aca="true" t="shared" si="73" ref="G400:G407">H400+I400</f>
        <v>0</v>
      </c>
      <c r="H400" s="10"/>
      <c r="I400" s="10"/>
      <c r="J400" s="8">
        <f>21928.883+791.842+200-129.196</f>
        <v>22791.529000000002</v>
      </c>
      <c r="K400" s="10">
        <v>0</v>
      </c>
      <c r="L400" s="5" t="s">
        <v>297</v>
      </c>
      <c r="M400" s="291"/>
    </row>
    <row r="401" spans="1:13" s="38" customFormat="1" ht="33" customHeight="1">
      <c r="A401" s="468"/>
      <c r="B401" s="463"/>
      <c r="C401" s="464"/>
      <c r="D401" s="257"/>
      <c r="E401" s="10">
        <f t="shared" si="71"/>
        <v>29488.001</v>
      </c>
      <c r="F401" s="10">
        <f>16200-1075.066</f>
        <v>15124.934</v>
      </c>
      <c r="G401" s="10">
        <f t="shared" si="73"/>
        <v>0</v>
      </c>
      <c r="H401" s="10"/>
      <c r="I401" s="10"/>
      <c r="J401" s="8">
        <f>14792.02+385.475-814.428</f>
        <v>14363.067000000001</v>
      </c>
      <c r="K401" s="10">
        <v>0</v>
      </c>
      <c r="L401" s="5" t="s">
        <v>298</v>
      </c>
      <c r="M401" s="291"/>
    </row>
    <row r="402" spans="1:13" s="38" customFormat="1" ht="27.75" customHeight="1">
      <c r="A402" s="468"/>
      <c r="B402" s="463"/>
      <c r="C402" s="464"/>
      <c r="D402" s="257"/>
      <c r="E402" s="10">
        <f t="shared" si="71"/>
        <v>52028.272</v>
      </c>
      <c r="F402" s="10">
        <f>40601+2420.539+901.952</f>
        <v>43923.490999999995</v>
      </c>
      <c r="G402" s="10">
        <f t="shared" si="73"/>
        <v>0</v>
      </c>
      <c r="H402" s="10"/>
      <c r="I402" s="10"/>
      <c r="J402" s="8">
        <f>7875.425+81.356+148</f>
        <v>8104.781</v>
      </c>
      <c r="K402" s="10">
        <v>0</v>
      </c>
      <c r="L402" s="5" t="s">
        <v>31</v>
      </c>
      <c r="M402" s="291"/>
    </row>
    <row r="403" spans="1:13" s="38" customFormat="1" ht="27" customHeight="1">
      <c r="A403" s="468"/>
      <c r="B403" s="463"/>
      <c r="C403" s="464"/>
      <c r="D403" s="257"/>
      <c r="E403" s="10">
        <f t="shared" si="71"/>
        <v>56928.04151</v>
      </c>
      <c r="F403" s="10">
        <f>47860+233.432+598.048</f>
        <v>48691.48</v>
      </c>
      <c r="G403" s="10">
        <f t="shared" si="73"/>
        <v>0</v>
      </c>
      <c r="H403" s="10"/>
      <c r="I403" s="10"/>
      <c r="J403" s="8">
        <f>8506.19+110.34-379.96849</f>
        <v>8236.561510000001</v>
      </c>
      <c r="K403" s="10">
        <v>0</v>
      </c>
      <c r="L403" s="5" t="s">
        <v>17</v>
      </c>
      <c r="M403" s="291"/>
    </row>
    <row r="404" spans="1:13" s="38" customFormat="1" ht="33.75" customHeight="1">
      <c r="A404" s="468"/>
      <c r="B404" s="463"/>
      <c r="C404" s="464"/>
      <c r="D404" s="257"/>
      <c r="E404" s="10">
        <f t="shared" si="71"/>
        <v>6761.31</v>
      </c>
      <c r="F404" s="10">
        <v>0</v>
      </c>
      <c r="G404" s="10">
        <f t="shared" si="73"/>
        <v>0</v>
      </c>
      <c r="H404" s="10"/>
      <c r="I404" s="10"/>
      <c r="J404" s="8">
        <f>5710.81+1050.5</f>
        <v>6761.31</v>
      </c>
      <c r="K404" s="10">
        <v>0</v>
      </c>
      <c r="L404" s="5" t="s">
        <v>205</v>
      </c>
      <c r="M404" s="291"/>
    </row>
    <row r="405" spans="1:13" s="38" customFormat="1" ht="27" customHeight="1">
      <c r="A405" s="468"/>
      <c r="B405" s="463"/>
      <c r="C405" s="464"/>
      <c r="D405" s="257"/>
      <c r="E405" s="10">
        <f t="shared" si="71"/>
        <v>5709.542</v>
      </c>
      <c r="F405" s="10">
        <v>0</v>
      </c>
      <c r="G405" s="10">
        <v>0</v>
      </c>
      <c r="H405" s="10"/>
      <c r="I405" s="10"/>
      <c r="J405" s="8">
        <v>5709.542</v>
      </c>
      <c r="K405" s="10"/>
      <c r="L405" s="5" t="s">
        <v>151</v>
      </c>
      <c r="M405" s="291"/>
    </row>
    <row r="406" spans="1:13" s="38" customFormat="1" ht="27" customHeight="1">
      <c r="A406" s="468"/>
      <c r="B406" s="463"/>
      <c r="C406" s="464"/>
      <c r="D406" s="257"/>
      <c r="E406" s="10">
        <f t="shared" si="71"/>
        <v>1460.973</v>
      </c>
      <c r="F406" s="10">
        <v>0</v>
      </c>
      <c r="G406" s="157">
        <f t="shared" si="73"/>
        <v>1271</v>
      </c>
      <c r="H406" s="10"/>
      <c r="I406" s="10">
        <v>1271</v>
      </c>
      <c r="J406" s="8">
        <f>190-0.127+0.1</f>
        <v>189.97299999999998</v>
      </c>
      <c r="K406" s="10"/>
      <c r="L406" s="5" t="s">
        <v>284</v>
      </c>
      <c r="M406" s="291"/>
    </row>
    <row r="407" spans="1:13" s="38" customFormat="1" ht="27" customHeight="1" thickBot="1">
      <c r="A407" s="468"/>
      <c r="B407" s="463"/>
      <c r="C407" s="464"/>
      <c r="D407" s="384"/>
      <c r="E407" s="157">
        <f t="shared" si="71"/>
        <v>6044.8185</v>
      </c>
      <c r="F407" s="157">
        <v>0</v>
      </c>
      <c r="G407" s="157">
        <f t="shared" si="73"/>
        <v>0</v>
      </c>
      <c r="H407" s="157"/>
      <c r="I407" s="157">
        <v>0</v>
      </c>
      <c r="J407" s="169">
        <f>6405.021-360.3295+0.127</f>
        <v>6044.8185</v>
      </c>
      <c r="K407" s="157">
        <v>0</v>
      </c>
      <c r="L407" s="197" t="s">
        <v>206</v>
      </c>
      <c r="M407" s="291"/>
    </row>
    <row r="408" spans="1:13" s="38" customFormat="1" ht="27" customHeight="1" thickBot="1">
      <c r="A408" s="468"/>
      <c r="B408" s="463"/>
      <c r="C408" s="464"/>
      <c r="D408" s="79">
        <v>2021</v>
      </c>
      <c r="E408" s="161">
        <f>F408+G408+J408+K408</f>
        <v>231324.33399999997</v>
      </c>
      <c r="F408" s="161">
        <f aca="true" t="shared" si="74" ref="F408:K408">SUM(F409:F420)</f>
        <v>150227</v>
      </c>
      <c r="G408" s="161">
        <f>H408+I408</f>
        <v>1397.8</v>
      </c>
      <c r="H408" s="161">
        <f t="shared" si="74"/>
        <v>0</v>
      </c>
      <c r="I408" s="161">
        <f t="shared" si="74"/>
        <v>1397.8</v>
      </c>
      <c r="J408" s="161">
        <f>SUM(J409:J420)</f>
        <v>79699.53399999999</v>
      </c>
      <c r="K408" s="161">
        <f t="shared" si="74"/>
        <v>0</v>
      </c>
      <c r="L408" s="165"/>
      <c r="M408" s="336"/>
    </row>
    <row r="409" spans="1:13" s="38" customFormat="1" ht="27" customHeight="1">
      <c r="A409" s="468"/>
      <c r="B409" s="463"/>
      <c r="C409" s="464"/>
      <c r="D409" s="41"/>
      <c r="E409" s="158">
        <f>F409+G409+J409+K409</f>
        <v>17417.333</v>
      </c>
      <c r="F409" s="164">
        <v>13245.76</v>
      </c>
      <c r="G409" s="164">
        <f>H409+I409</f>
        <v>0</v>
      </c>
      <c r="H409" s="164"/>
      <c r="I409" s="164"/>
      <c r="J409" s="164">
        <v>4171.573</v>
      </c>
      <c r="K409" s="164">
        <v>0</v>
      </c>
      <c r="L409" s="65" t="s">
        <v>285</v>
      </c>
      <c r="M409" s="291"/>
    </row>
    <row r="410" spans="1:13" s="38" customFormat="1" ht="27" customHeight="1">
      <c r="A410" s="468"/>
      <c r="B410" s="463"/>
      <c r="C410" s="464"/>
      <c r="D410" s="41"/>
      <c r="E410" s="158">
        <f>F410+G410+J410+K410</f>
        <v>6595.77</v>
      </c>
      <c r="F410" s="164"/>
      <c r="G410" s="164">
        <f>H410+I410</f>
        <v>0</v>
      </c>
      <c r="H410" s="164"/>
      <c r="I410" s="164"/>
      <c r="J410" s="164">
        <v>6595.77</v>
      </c>
      <c r="K410" s="164">
        <v>0</v>
      </c>
      <c r="L410" s="65" t="s">
        <v>286</v>
      </c>
      <c r="M410" s="291"/>
    </row>
    <row r="411" spans="1:13" s="38" customFormat="1" ht="27" customHeight="1">
      <c r="A411" s="468"/>
      <c r="B411" s="463"/>
      <c r="C411" s="464"/>
      <c r="D411" s="6"/>
      <c r="E411" s="22">
        <f aca="true" t="shared" si="75" ref="E411:E420">F411+G411+J411+K411</f>
        <v>40244.944</v>
      </c>
      <c r="F411" s="10">
        <v>31896.098</v>
      </c>
      <c r="G411" s="10">
        <f aca="true" t="shared" si="76" ref="G411:G420">H411+I411</f>
        <v>0</v>
      </c>
      <c r="H411" s="10"/>
      <c r="I411" s="10"/>
      <c r="J411" s="10">
        <v>8348.846</v>
      </c>
      <c r="K411" s="10">
        <v>0</v>
      </c>
      <c r="L411" s="65" t="s">
        <v>287</v>
      </c>
      <c r="M411" s="291"/>
    </row>
    <row r="412" spans="1:13" s="38" customFormat="1" ht="27" customHeight="1">
      <c r="A412" s="468"/>
      <c r="B412" s="463"/>
      <c r="C412" s="464"/>
      <c r="D412" s="6"/>
      <c r="E412" s="22">
        <f t="shared" si="75"/>
        <v>13953.05</v>
      </c>
      <c r="F412" s="10"/>
      <c r="G412" s="10">
        <f t="shared" si="76"/>
        <v>0</v>
      </c>
      <c r="H412" s="10"/>
      <c r="I412" s="10"/>
      <c r="J412" s="10">
        <v>13953.05</v>
      </c>
      <c r="K412" s="10">
        <v>0</v>
      </c>
      <c r="L412" s="65" t="s">
        <v>288</v>
      </c>
      <c r="M412" s="291"/>
    </row>
    <row r="413" spans="1:13" s="38" customFormat="1" ht="27" customHeight="1">
      <c r="A413" s="468"/>
      <c r="B413" s="463"/>
      <c r="C413" s="464"/>
      <c r="D413" s="6"/>
      <c r="E413" s="22">
        <f t="shared" si="75"/>
        <v>21378.718999999997</v>
      </c>
      <c r="F413" s="10">
        <v>14101.792</v>
      </c>
      <c r="G413" s="10">
        <f t="shared" si="76"/>
        <v>0</v>
      </c>
      <c r="H413" s="10"/>
      <c r="I413" s="10"/>
      <c r="J413" s="10">
        <v>7276.927</v>
      </c>
      <c r="K413" s="10">
        <v>0</v>
      </c>
      <c r="L413" s="65" t="s">
        <v>289</v>
      </c>
      <c r="M413" s="291"/>
    </row>
    <row r="414" spans="1:13" s="38" customFormat="1" ht="27" customHeight="1">
      <c r="A414" s="468"/>
      <c r="B414" s="463"/>
      <c r="C414" s="464"/>
      <c r="D414" s="6"/>
      <c r="E414" s="22">
        <f t="shared" si="75"/>
        <v>6886.189</v>
      </c>
      <c r="F414" s="10"/>
      <c r="G414" s="10">
        <f t="shared" si="76"/>
        <v>0</v>
      </c>
      <c r="H414" s="10"/>
      <c r="I414" s="10"/>
      <c r="J414" s="10">
        <v>6886.189</v>
      </c>
      <c r="K414" s="10"/>
      <c r="L414" s="65" t="s">
        <v>290</v>
      </c>
      <c r="M414" s="291"/>
    </row>
    <row r="415" spans="1:13" s="38" customFormat="1" ht="27" customHeight="1">
      <c r="A415" s="468"/>
      <c r="B415" s="463"/>
      <c r="C415" s="464"/>
      <c r="D415" s="6"/>
      <c r="E415" s="22">
        <f t="shared" si="75"/>
        <v>52254.332</v>
      </c>
      <c r="F415" s="10">
        <v>44957.41</v>
      </c>
      <c r="G415" s="10">
        <f t="shared" si="76"/>
        <v>0</v>
      </c>
      <c r="H415" s="10"/>
      <c r="I415" s="10"/>
      <c r="J415" s="10">
        <v>7296.922</v>
      </c>
      <c r="K415" s="10">
        <v>0</v>
      </c>
      <c r="L415" s="5" t="s">
        <v>31</v>
      </c>
      <c r="M415" s="291"/>
    </row>
    <row r="416" spans="1:13" s="38" customFormat="1" ht="27" customHeight="1">
      <c r="A416" s="468"/>
      <c r="B416" s="463"/>
      <c r="C416" s="464"/>
      <c r="D416" s="6"/>
      <c r="E416" s="22">
        <f t="shared" si="75"/>
        <v>53501.33500000001</v>
      </c>
      <c r="F416" s="10">
        <v>46025.94</v>
      </c>
      <c r="G416" s="10">
        <f t="shared" si="76"/>
        <v>0</v>
      </c>
      <c r="H416" s="10"/>
      <c r="I416" s="10"/>
      <c r="J416" s="10">
        <v>7475.395</v>
      </c>
      <c r="K416" s="10">
        <v>0</v>
      </c>
      <c r="L416" s="5" t="s">
        <v>17</v>
      </c>
      <c r="M416" s="291"/>
    </row>
    <row r="417" spans="1:13" s="38" customFormat="1" ht="27" customHeight="1">
      <c r="A417" s="468"/>
      <c r="B417" s="463"/>
      <c r="C417" s="464"/>
      <c r="D417" s="6"/>
      <c r="E417" s="22">
        <f t="shared" si="75"/>
        <v>5147.694</v>
      </c>
      <c r="F417" s="10">
        <v>0</v>
      </c>
      <c r="G417" s="10">
        <f t="shared" si="76"/>
        <v>0</v>
      </c>
      <c r="H417" s="10"/>
      <c r="I417" s="10"/>
      <c r="J417" s="10">
        <v>5147.694</v>
      </c>
      <c r="K417" s="10">
        <v>0</v>
      </c>
      <c r="L417" s="5" t="s">
        <v>291</v>
      </c>
      <c r="M417" s="291"/>
    </row>
    <row r="418" spans="1:13" s="38" customFormat="1" ht="27" customHeight="1">
      <c r="A418" s="468"/>
      <c r="B418" s="463"/>
      <c r="C418" s="464"/>
      <c r="D418" s="6"/>
      <c r="E418" s="22">
        <f t="shared" si="75"/>
        <v>6030.2</v>
      </c>
      <c r="F418" s="10">
        <v>0</v>
      </c>
      <c r="G418" s="10">
        <f t="shared" si="76"/>
        <v>0</v>
      </c>
      <c r="H418" s="10"/>
      <c r="I418" s="10"/>
      <c r="J418" s="10">
        <v>6030.2</v>
      </c>
      <c r="K418" s="10"/>
      <c r="L418" s="5" t="s">
        <v>151</v>
      </c>
      <c r="M418" s="291"/>
    </row>
    <row r="419" spans="1:13" s="38" customFormat="1" ht="27" customHeight="1">
      <c r="A419" s="468"/>
      <c r="B419" s="463"/>
      <c r="C419" s="464"/>
      <c r="D419" s="6"/>
      <c r="E419" s="22">
        <f t="shared" si="75"/>
        <v>208.87</v>
      </c>
      <c r="F419" s="10">
        <v>0</v>
      </c>
      <c r="G419" s="10">
        <f t="shared" si="76"/>
        <v>0</v>
      </c>
      <c r="H419" s="10"/>
      <c r="I419" s="10"/>
      <c r="J419" s="10">
        <v>208.87</v>
      </c>
      <c r="K419" s="10"/>
      <c r="L419" s="5" t="s">
        <v>284</v>
      </c>
      <c r="M419" s="291"/>
    </row>
    <row r="420" spans="1:13" s="38" customFormat="1" ht="31.5" customHeight="1" thickBot="1">
      <c r="A420" s="468"/>
      <c r="B420" s="463"/>
      <c r="C420" s="464"/>
      <c r="D420" s="29"/>
      <c r="E420" s="156">
        <f t="shared" si="75"/>
        <v>7705.898</v>
      </c>
      <c r="F420" s="157">
        <v>0</v>
      </c>
      <c r="G420" s="157">
        <f t="shared" si="76"/>
        <v>1397.8</v>
      </c>
      <c r="H420" s="157"/>
      <c r="I420" s="157">
        <v>1397.8</v>
      </c>
      <c r="J420" s="157">
        <v>6308.098</v>
      </c>
      <c r="K420" s="157">
        <v>0</v>
      </c>
      <c r="L420" s="197" t="s">
        <v>206</v>
      </c>
      <c r="M420" s="291"/>
    </row>
    <row r="421" spans="1:13" s="38" customFormat="1" ht="27.75" customHeight="1" thickBot="1">
      <c r="A421" s="468"/>
      <c r="B421" s="463"/>
      <c r="C421" s="464"/>
      <c r="D421" s="79">
        <v>2022</v>
      </c>
      <c r="E421" s="161">
        <f aca="true" t="shared" si="77" ref="E421:K421">SUM(E422:E433)</f>
        <v>223222.331</v>
      </c>
      <c r="F421" s="161">
        <f>SUM(F422:F433)</f>
        <v>149095.8</v>
      </c>
      <c r="G421" s="161">
        <f>SUM(G422:G433)</f>
        <v>1397.8</v>
      </c>
      <c r="H421" s="161">
        <f t="shared" si="77"/>
        <v>0</v>
      </c>
      <c r="I421" s="161">
        <f t="shared" si="77"/>
        <v>1397.8</v>
      </c>
      <c r="J421" s="161">
        <f>SUM(J422:J433)</f>
        <v>72728.73099999999</v>
      </c>
      <c r="K421" s="161">
        <f t="shared" si="77"/>
        <v>0</v>
      </c>
      <c r="L421" s="101"/>
      <c r="M421" s="336"/>
    </row>
    <row r="422" spans="1:13" s="38" customFormat="1" ht="27" customHeight="1">
      <c r="A422" s="468"/>
      <c r="B422" s="463"/>
      <c r="C422" s="464"/>
      <c r="D422" s="440"/>
      <c r="E422" s="158">
        <f>F422+G422+J422+K422</f>
        <v>15830.14</v>
      </c>
      <c r="F422" s="164">
        <v>13146.02</v>
      </c>
      <c r="G422" s="164">
        <f>H422+I422</f>
        <v>0</v>
      </c>
      <c r="H422" s="164"/>
      <c r="I422" s="164"/>
      <c r="J422" s="164">
        <v>2684.12</v>
      </c>
      <c r="K422" s="164">
        <v>0</v>
      </c>
      <c r="L422" s="65" t="s">
        <v>285</v>
      </c>
      <c r="M422" s="291"/>
    </row>
    <row r="423" spans="1:13" s="38" customFormat="1" ht="27" customHeight="1">
      <c r="A423" s="468"/>
      <c r="B423" s="463"/>
      <c r="C423" s="464"/>
      <c r="D423" s="440"/>
      <c r="E423" s="158">
        <f>F423+G423+J423+K423</f>
        <v>6561.047</v>
      </c>
      <c r="F423" s="164"/>
      <c r="G423" s="164">
        <f>H423+I423</f>
        <v>0</v>
      </c>
      <c r="H423" s="164"/>
      <c r="I423" s="164"/>
      <c r="J423" s="164">
        <v>6561.047</v>
      </c>
      <c r="K423" s="164"/>
      <c r="L423" s="65" t="s">
        <v>286</v>
      </c>
      <c r="M423" s="291"/>
    </row>
    <row r="424" spans="1:13" s="38" customFormat="1" ht="27" customHeight="1">
      <c r="A424" s="468"/>
      <c r="B424" s="463"/>
      <c r="C424" s="464"/>
      <c r="D424" s="440"/>
      <c r="E424" s="22">
        <f aca="true" t="shared" si="78" ref="E424:E433">F424+G424+J424+K424</f>
        <v>37227.346</v>
      </c>
      <c r="F424" s="10">
        <v>31655.922</v>
      </c>
      <c r="G424" s="10">
        <f aca="true" t="shared" si="79" ref="G424:G433">H424+I424</f>
        <v>0</v>
      </c>
      <c r="H424" s="10"/>
      <c r="I424" s="10"/>
      <c r="J424" s="10">
        <v>5571.424</v>
      </c>
      <c r="K424" s="10">
        <v>0</v>
      </c>
      <c r="L424" s="65" t="s">
        <v>287</v>
      </c>
      <c r="M424" s="291"/>
    </row>
    <row r="425" spans="1:13" s="38" customFormat="1" ht="27" customHeight="1">
      <c r="A425" s="468"/>
      <c r="B425" s="463"/>
      <c r="C425" s="464"/>
      <c r="D425" s="440"/>
      <c r="E425" s="22">
        <f t="shared" si="78"/>
        <v>13855.971</v>
      </c>
      <c r="F425" s="10"/>
      <c r="G425" s="10">
        <f>H425+I425</f>
        <v>0</v>
      </c>
      <c r="H425" s="10"/>
      <c r="I425" s="10"/>
      <c r="J425" s="10">
        <v>13855.971</v>
      </c>
      <c r="K425" s="10"/>
      <c r="L425" s="65" t="s">
        <v>288</v>
      </c>
      <c r="M425" s="291"/>
    </row>
    <row r="426" spans="1:13" s="239" customFormat="1" ht="27" customHeight="1">
      <c r="A426" s="468"/>
      <c r="B426" s="463"/>
      <c r="C426" s="464"/>
      <c r="D426" s="440"/>
      <c r="E426" s="237">
        <f t="shared" si="78"/>
        <v>20218.263</v>
      </c>
      <c r="F426" s="238">
        <v>13995.608</v>
      </c>
      <c r="G426" s="238">
        <f t="shared" si="79"/>
        <v>0</v>
      </c>
      <c r="H426" s="238"/>
      <c r="I426" s="238"/>
      <c r="J426" s="238">
        <v>6222.655</v>
      </c>
      <c r="K426" s="238">
        <v>0</v>
      </c>
      <c r="L426" s="65" t="s">
        <v>289</v>
      </c>
      <c r="M426" s="291"/>
    </row>
    <row r="427" spans="1:13" s="239" customFormat="1" ht="27" customHeight="1">
      <c r="A427" s="468"/>
      <c r="B427" s="463"/>
      <c r="C427" s="464"/>
      <c r="D427" s="440"/>
      <c r="E427" s="237">
        <f t="shared" si="78"/>
        <v>6845.526</v>
      </c>
      <c r="F427" s="238"/>
      <c r="G427" s="238">
        <f t="shared" si="79"/>
        <v>0</v>
      </c>
      <c r="H427" s="238"/>
      <c r="I427" s="238"/>
      <c r="J427" s="238">
        <v>6845.526</v>
      </c>
      <c r="K427" s="238"/>
      <c r="L427" s="65" t="s">
        <v>290</v>
      </c>
      <c r="M427" s="291"/>
    </row>
    <row r="428" spans="1:13" s="38" customFormat="1" ht="27" customHeight="1">
      <c r="A428" s="468"/>
      <c r="B428" s="463"/>
      <c r="C428" s="464"/>
      <c r="D428" s="440"/>
      <c r="E428" s="22">
        <f t="shared" si="78"/>
        <v>50811.479</v>
      </c>
      <c r="F428" s="10">
        <v>44618.883</v>
      </c>
      <c r="G428" s="10">
        <f t="shared" si="79"/>
        <v>0</v>
      </c>
      <c r="H428" s="10"/>
      <c r="I428" s="10"/>
      <c r="J428" s="10">
        <v>6192.596</v>
      </c>
      <c r="K428" s="10">
        <v>0</v>
      </c>
      <c r="L428" s="5" t="s">
        <v>31</v>
      </c>
      <c r="M428" s="291"/>
    </row>
    <row r="429" spans="1:13" s="38" customFormat="1" ht="27" customHeight="1">
      <c r="A429" s="468"/>
      <c r="B429" s="463"/>
      <c r="C429" s="464"/>
      <c r="D429" s="440"/>
      <c r="E429" s="22">
        <f t="shared" si="78"/>
        <v>52744.407</v>
      </c>
      <c r="F429" s="10">
        <v>45679.367</v>
      </c>
      <c r="G429" s="10">
        <f t="shared" si="79"/>
        <v>0</v>
      </c>
      <c r="H429" s="10"/>
      <c r="I429" s="10"/>
      <c r="J429" s="10">
        <v>7065.04</v>
      </c>
      <c r="K429" s="10">
        <v>0</v>
      </c>
      <c r="L429" s="5" t="s">
        <v>17</v>
      </c>
      <c r="M429" s="291"/>
    </row>
    <row r="430" spans="1:13" s="38" customFormat="1" ht="27" customHeight="1">
      <c r="A430" s="468"/>
      <c r="B430" s="463"/>
      <c r="C430" s="464"/>
      <c r="D430" s="440"/>
      <c r="E430" s="22">
        <f t="shared" si="78"/>
        <v>5183.184</v>
      </c>
      <c r="F430" s="10">
        <v>0</v>
      </c>
      <c r="G430" s="10">
        <f>H430+I430</f>
        <v>0</v>
      </c>
      <c r="H430" s="10"/>
      <c r="I430" s="10"/>
      <c r="J430" s="10">
        <v>5183.184</v>
      </c>
      <c r="K430" s="10">
        <v>0</v>
      </c>
      <c r="L430" s="5" t="s">
        <v>292</v>
      </c>
      <c r="M430" s="291"/>
    </row>
    <row r="431" spans="1:13" s="38" customFormat="1" ht="27" customHeight="1">
      <c r="A431" s="468"/>
      <c r="B431" s="463"/>
      <c r="C431" s="464"/>
      <c r="D431" s="440"/>
      <c r="E431" s="22">
        <f t="shared" si="78"/>
        <v>6030.2</v>
      </c>
      <c r="F431" s="10">
        <v>0</v>
      </c>
      <c r="G431" s="10">
        <f t="shared" si="79"/>
        <v>0</v>
      </c>
      <c r="H431" s="10"/>
      <c r="I431" s="10"/>
      <c r="J431" s="10">
        <v>6030.2</v>
      </c>
      <c r="K431" s="10">
        <v>0</v>
      </c>
      <c r="L431" s="5" t="s">
        <v>151</v>
      </c>
      <c r="M431" s="291"/>
    </row>
    <row r="432" spans="1:13" s="38" customFormat="1" ht="27" customHeight="1">
      <c r="A432" s="468"/>
      <c r="B432" s="463"/>
      <c r="C432" s="464"/>
      <c r="D432" s="440"/>
      <c r="E432" s="22">
        <f t="shared" si="78"/>
        <v>208.87</v>
      </c>
      <c r="F432" s="10">
        <v>0</v>
      </c>
      <c r="G432" s="10">
        <f t="shared" si="79"/>
        <v>0</v>
      </c>
      <c r="H432" s="10"/>
      <c r="I432" s="10"/>
      <c r="J432" s="10">
        <v>208.87</v>
      </c>
      <c r="K432" s="10">
        <v>0</v>
      </c>
      <c r="L432" s="5" t="s">
        <v>293</v>
      </c>
      <c r="M432" s="291"/>
    </row>
    <row r="433" spans="1:13" s="38" customFormat="1" ht="27" customHeight="1" thickBot="1">
      <c r="A433" s="468"/>
      <c r="B433" s="463"/>
      <c r="C433" s="464"/>
      <c r="D433" s="440"/>
      <c r="E433" s="156">
        <f t="shared" si="78"/>
        <v>7705.898</v>
      </c>
      <c r="F433" s="157">
        <v>0</v>
      </c>
      <c r="G433" s="157">
        <f t="shared" si="79"/>
        <v>1397.8</v>
      </c>
      <c r="H433" s="157"/>
      <c r="I433" s="157">
        <v>1397.8</v>
      </c>
      <c r="J433" s="157">
        <v>6308.098</v>
      </c>
      <c r="K433" s="157">
        <v>0</v>
      </c>
      <c r="L433" s="197" t="s">
        <v>206</v>
      </c>
      <c r="M433" s="433"/>
    </row>
    <row r="434" spans="1:13" s="38" customFormat="1" ht="27" customHeight="1" thickBot="1">
      <c r="A434" s="468"/>
      <c r="B434" s="463"/>
      <c r="C434" s="464"/>
      <c r="D434" s="79">
        <v>2023</v>
      </c>
      <c r="E434" s="176">
        <f aca="true" t="shared" si="80" ref="E434:E440">F434+G434+J434+K434</f>
        <v>223366.43099999998</v>
      </c>
      <c r="F434" s="176">
        <f aca="true" t="shared" si="81" ref="F434:K434">SUM(F435:F446)</f>
        <v>149165.19999999998</v>
      </c>
      <c r="G434" s="176">
        <f t="shared" si="81"/>
        <v>1397.8</v>
      </c>
      <c r="H434" s="176">
        <f t="shared" si="81"/>
        <v>0</v>
      </c>
      <c r="I434" s="176">
        <f t="shared" si="81"/>
        <v>1397.8</v>
      </c>
      <c r="J434" s="176">
        <f>SUM(J435:J446)</f>
        <v>72803.431</v>
      </c>
      <c r="K434" s="161">
        <f t="shared" si="81"/>
        <v>0</v>
      </c>
      <c r="L434" s="199"/>
      <c r="M434" s="488"/>
    </row>
    <row r="435" spans="1:13" s="38" customFormat="1" ht="27" customHeight="1">
      <c r="A435" s="468"/>
      <c r="B435" s="463"/>
      <c r="C435" s="464"/>
      <c r="D435" s="41"/>
      <c r="E435" s="158">
        <f t="shared" si="80"/>
        <v>15836.258999999998</v>
      </c>
      <c r="F435" s="164">
        <v>13152.139</v>
      </c>
      <c r="G435" s="164">
        <f aca="true" t="shared" si="82" ref="G435:G440">H435+I435</f>
        <v>0</v>
      </c>
      <c r="H435" s="164"/>
      <c r="I435" s="164"/>
      <c r="J435" s="164">
        <v>2684.12</v>
      </c>
      <c r="K435" s="164">
        <v>0</v>
      </c>
      <c r="L435" s="65" t="s">
        <v>285</v>
      </c>
      <c r="M435" s="489"/>
    </row>
    <row r="436" spans="1:13" s="38" customFormat="1" ht="27" customHeight="1">
      <c r="A436" s="468"/>
      <c r="B436" s="463"/>
      <c r="C436" s="464"/>
      <c r="D436" s="41"/>
      <c r="E436" s="158">
        <f t="shared" si="80"/>
        <v>6561.047</v>
      </c>
      <c r="F436" s="164"/>
      <c r="G436" s="164">
        <f t="shared" si="82"/>
        <v>0</v>
      </c>
      <c r="H436" s="164"/>
      <c r="I436" s="164"/>
      <c r="J436" s="164">
        <v>6561.047</v>
      </c>
      <c r="K436" s="164"/>
      <c r="L436" s="65" t="s">
        <v>286</v>
      </c>
      <c r="M436" s="489"/>
    </row>
    <row r="437" spans="1:13" s="38" customFormat="1" ht="27" customHeight="1">
      <c r="A437" s="468"/>
      <c r="B437" s="463"/>
      <c r="C437" s="464"/>
      <c r="D437" s="6"/>
      <c r="E437" s="158">
        <f t="shared" si="80"/>
        <v>37242.082</v>
      </c>
      <c r="F437" s="10">
        <v>31670.658</v>
      </c>
      <c r="G437" s="164">
        <f t="shared" si="82"/>
        <v>0</v>
      </c>
      <c r="H437" s="10"/>
      <c r="I437" s="10"/>
      <c r="J437" s="10">
        <v>5571.424</v>
      </c>
      <c r="K437" s="10">
        <v>0</v>
      </c>
      <c r="L437" s="65" t="s">
        <v>287</v>
      </c>
      <c r="M437" s="489"/>
    </row>
    <row r="438" spans="1:13" s="38" customFormat="1" ht="27" customHeight="1">
      <c r="A438" s="468"/>
      <c r="B438" s="463"/>
      <c r="C438" s="464"/>
      <c r="D438" s="6"/>
      <c r="E438" s="158">
        <f t="shared" si="80"/>
        <v>13855.971</v>
      </c>
      <c r="F438" s="10"/>
      <c r="G438" s="164">
        <f t="shared" si="82"/>
        <v>0</v>
      </c>
      <c r="H438" s="10"/>
      <c r="I438" s="10"/>
      <c r="J438" s="10">
        <v>13855.971</v>
      </c>
      <c r="K438" s="10"/>
      <c r="L438" s="65" t="s">
        <v>288</v>
      </c>
      <c r="M438" s="489"/>
    </row>
    <row r="439" spans="1:13" s="38" customFormat="1" ht="27" customHeight="1">
      <c r="A439" s="468"/>
      <c r="B439" s="463"/>
      <c r="C439" s="464"/>
      <c r="D439" s="6"/>
      <c r="E439" s="158">
        <f t="shared" si="80"/>
        <v>20224.777</v>
      </c>
      <c r="F439" s="10">
        <v>14002.122</v>
      </c>
      <c r="G439" s="164">
        <f t="shared" si="82"/>
        <v>0</v>
      </c>
      <c r="H439" s="10"/>
      <c r="I439" s="10"/>
      <c r="J439" s="10">
        <v>6222.655</v>
      </c>
      <c r="K439" s="10">
        <v>0</v>
      </c>
      <c r="L439" s="65" t="s">
        <v>289</v>
      </c>
      <c r="M439" s="489"/>
    </row>
    <row r="440" spans="1:13" s="38" customFormat="1" ht="27" customHeight="1">
      <c r="A440" s="468"/>
      <c r="B440" s="463"/>
      <c r="C440" s="464"/>
      <c r="D440" s="6"/>
      <c r="E440" s="158">
        <f t="shared" si="80"/>
        <v>6845.526</v>
      </c>
      <c r="F440" s="10"/>
      <c r="G440" s="164">
        <f t="shared" si="82"/>
        <v>0</v>
      </c>
      <c r="H440" s="10"/>
      <c r="I440" s="10"/>
      <c r="J440" s="10">
        <v>6845.526</v>
      </c>
      <c r="K440" s="10"/>
      <c r="L440" s="65" t="s">
        <v>290</v>
      </c>
      <c r="M440" s="489"/>
    </row>
    <row r="441" spans="1:13" s="38" customFormat="1" ht="27" customHeight="1">
      <c r="A441" s="468"/>
      <c r="B441" s="463"/>
      <c r="C441" s="464"/>
      <c r="D441" s="6"/>
      <c r="E441" s="22">
        <f aca="true" t="shared" si="83" ref="E441:E446">F441+G441+J441+K441</f>
        <v>50906.947</v>
      </c>
      <c r="F441" s="10">
        <v>44639.651</v>
      </c>
      <c r="G441" s="10">
        <f aca="true" t="shared" si="84" ref="G441:G446">H441+I441</f>
        <v>0</v>
      </c>
      <c r="H441" s="10"/>
      <c r="I441" s="10"/>
      <c r="J441" s="10">
        <v>6267.296</v>
      </c>
      <c r="K441" s="10">
        <v>0</v>
      </c>
      <c r="L441" s="200" t="s">
        <v>31</v>
      </c>
      <c r="M441" s="489"/>
    </row>
    <row r="442" spans="1:13" s="38" customFormat="1" ht="27" customHeight="1">
      <c r="A442" s="468"/>
      <c r="B442" s="463"/>
      <c r="C442" s="464"/>
      <c r="D442" s="6"/>
      <c r="E442" s="22">
        <f t="shared" si="83"/>
        <v>52765.67</v>
      </c>
      <c r="F442" s="10">
        <v>45700.63</v>
      </c>
      <c r="G442" s="10">
        <f t="shared" si="84"/>
        <v>0</v>
      </c>
      <c r="H442" s="10"/>
      <c r="I442" s="10"/>
      <c r="J442" s="10">
        <v>7065.04</v>
      </c>
      <c r="K442" s="10">
        <v>0</v>
      </c>
      <c r="L442" s="200" t="s">
        <v>17</v>
      </c>
      <c r="M442" s="489"/>
    </row>
    <row r="443" spans="1:13" s="38" customFormat="1" ht="27" customHeight="1">
      <c r="A443" s="468"/>
      <c r="B443" s="463"/>
      <c r="C443" s="464"/>
      <c r="D443" s="6"/>
      <c r="E443" s="22">
        <f t="shared" si="83"/>
        <v>5183.184</v>
      </c>
      <c r="F443" s="10">
        <v>0</v>
      </c>
      <c r="G443" s="10">
        <f t="shared" si="84"/>
        <v>0</v>
      </c>
      <c r="H443" s="10"/>
      <c r="I443" s="10"/>
      <c r="J443" s="10">
        <v>5183.184</v>
      </c>
      <c r="K443" s="10">
        <v>0</v>
      </c>
      <c r="L443" s="200" t="s">
        <v>208</v>
      </c>
      <c r="M443" s="489"/>
    </row>
    <row r="444" spans="1:13" s="38" customFormat="1" ht="27" customHeight="1">
      <c r="A444" s="468"/>
      <c r="B444" s="463"/>
      <c r="C444" s="464"/>
      <c r="D444" s="6"/>
      <c r="E444" s="22">
        <f t="shared" si="83"/>
        <v>6030.2</v>
      </c>
      <c r="F444" s="10">
        <v>0</v>
      </c>
      <c r="G444" s="10">
        <f t="shared" si="84"/>
        <v>0</v>
      </c>
      <c r="H444" s="10"/>
      <c r="I444" s="10"/>
      <c r="J444" s="10">
        <v>6030.2</v>
      </c>
      <c r="K444" s="10">
        <v>0</v>
      </c>
      <c r="L444" s="200" t="s">
        <v>151</v>
      </c>
      <c r="M444" s="489"/>
    </row>
    <row r="445" spans="1:13" s="38" customFormat="1" ht="27" customHeight="1">
      <c r="A445" s="468"/>
      <c r="B445" s="463"/>
      <c r="C445" s="464"/>
      <c r="D445" s="6"/>
      <c r="E445" s="22">
        <f t="shared" si="83"/>
        <v>208.87</v>
      </c>
      <c r="F445" s="10">
        <v>0</v>
      </c>
      <c r="G445" s="10">
        <f t="shared" si="84"/>
        <v>0</v>
      </c>
      <c r="H445" s="10"/>
      <c r="I445" s="10"/>
      <c r="J445" s="10">
        <v>208.87</v>
      </c>
      <c r="K445" s="10">
        <v>0</v>
      </c>
      <c r="L445" s="200" t="s">
        <v>294</v>
      </c>
      <c r="M445" s="489"/>
    </row>
    <row r="446" spans="1:13" s="38" customFormat="1" ht="27" customHeight="1" thickBot="1">
      <c r="A446" s="469"/>
      <c r="B446" s="465"/>
      <c r="C446" s="466"/>
      <c r="D446" s="29"/>
      <c r="E446" s="156">
        <f t="shared" si="83"/>
        <v>7705.898</v>
      </c>
      <c r="F446" s="157">
        <v>0</v>
      </c>
      <c r="G446" s="157">
        <f t="shared" si="84"/>
        <v>1397.8</v>
      </c>
      <c r="H446" s="157"/>
      <c r="I446" s="157">
        <v>1397.8</v>
      </c>
      <c r="J446" s="157">
        <v>6308.098</v>
      </c>
      <c r="K446" s="157">
        <v>0</v>
      </c>
      <c r="L446" s="195" t="s">
        <v>206</v>
      </c>
      <c r="M446" s="490"/>
    </row>
    <row r="447" spans="1:13" s="49" customFormat="1" ht="27" customHeight="1" thickBot="1">
      <c r="A447" s="372" t="s">
        <v>257</v>
      </c>
      <c r="B447" s="503" t="s">
        <v>299</v>
      </c>
      <c r="C447" s="504"/>
      <c r="D447" s="79">
        <v>2020</v>
      </c>
      <c r="E447" s="161">
        <f aca="true" t="shared" si="85" ref="E447:J447">E448+E449</f>
        <v>1979.1</v>
      </c>
      <c r="F447" s="161">
        <f t="shared" si="85"/>
        <v>0</v>
      </c>
      <c r="G447" s="161">
        <f>G448+G449</f>
        <v>1979.1</v>
      </c>
      <c r="H447" s="161">
        <f t="shared" si="85"/>
        <v>1979.1</v>
      </c>
      <c r="I447" s="161">
        <f>I448+I449</f>
        <v>0</v>
      </c>
      <c r="J447" s="161">
        <f t="shared" si="85"/>
        <v>0</v>
      </c>
      <c r="K447" s="162">
        <f>K448+K449</f>
        <v>0</v>
      </c>
      <c r="L447" s="170"/>
      <c r="M447" s="512"/>
    </row>
    <row r="448" spans="1:13" s="38" customFormat="1" ht="27" customHeight="1">
      <c r="A448" s="373"/>
      <c r="B448" s="505"/>
      <c r="C448" s="506"/>
      <c r="D448" s="78" t="s">
        <v>150</v>
      </c>
      <c r="E448" s="164">
        <f>F448+G448+J448</f>
        <v>925.294</v>
      </c>
      <c r="F448" s="164">
        <v>0</v>
      </c>
      <c r="G448" s="164">
        <f>H448+I448</f>
        <v>925.294</v>
      </c>
      <c r="H448" s="164">
        <f>925.3-0.006</f>
        <v>925.294</v>
      </c>
      <c r="I448" s="164">
        <v>0</v>
      </c>
      <c r="J448" s="164">
        <v>0</v>
      </c>
      <c r="K448" s="164">
        <v>0</v>
      </c>
      <c r="L448" s="523" t="s">
        <v>150</v>
      </c>
      <c r="M448" s="513"/>
    </row>
    <row r="449" spans="1:13" s="38" customFormat="1" ht="27" customHeight="1" thickBot="1">
      <c r="A449" s="373"/>
      <c r="B449" s="505"/>
      <c r="C449" s="506"/>
      <c r="D449" s="128" t="s">
        <v>149</v>
      </c>
      <c r="E449" s="157">
        <f>F449+G449+J449</f>
        <v>1053.806</v>
      </c>
      <c r="F449" s="157">
        <v>0</v>
      </c>
      <c r="G449" s="157">
        <f>H449+I449</f>
        <v>1053.806</v>
      </c>
      <c r="H449" s="157">
        <f>1053.8+0.006</f>
        <v>1053.806</v>
      </c>
      <c r="I449" s="157">
        <v>0</v>
      </c>
      <c r="J449" s="157">
        <v>0</v>
      </c>
      <c r="K449" s="157">
        <v>0</v>
      </c>
      <c r="L449" s="524" t="s">
        <v>149</v>
      </c>
      <c r="M449" s="513"/>
    </row>
    <row r="450" spans="1:13" s="38" customFormat="1" ht="27" customHeight="1" thickBot="1">
      <c r="A450" s="373"/>
      <c r="B450" s="505"/>
      <c r="C450" s="506"/>
      <c r="D450" s="79">
        <v>2021</v>
      </c>
      <c r="E450" s="161">
        <f aca="true" t="shared" si="86" ref="E450:E455">F450+G450+J450</f>
        <v>5937</v>
      </c>
      <c r="F450" s="161">
        <f>F451+F452</f>
        <v>0</v>
      </c>
      <c r="G450" s="161">
        <f aca="true" t="shared" si="87" ref="G450:G455">H450+I450</f>
        <v>5937</v>
      </c>
      <c r="H450" s="161">
        <f>H451+H452</f>
        <v>5937</v>
      </c>
      <c r="I450" s="161">
        <f>I451+I452</f>
        <v>0</v>
      </c>
      <c r="J450" s="161">
        <f>J451+J452</f>
        <v>0</v>
      </c>
      <c r="K450" s="162">
        <f>K451+K452</f>
        <v>0</v>
      </c>
      <c r="L450" s="163"/>
      <c r="M450" s="513"/>
    </row>
    <row r="451" spans="1:13" s="38" customFormat="1" ht="27" customHeight="1">
      <c r="A451" s="373"/>
      <c r="B451" s="505"/>
      <c r="C451" s="506"/>
      <c r="D451" s="78" t="s">
        <v>150</v>
      </c>
      <c r="E451" s="164">
        <f t="shared" si="86"/>
        <v>2775.74</v>
      </c>
      <c r="F451" s="164"/>
      <c r="G451" s="164">
        <f t="shared" si="87"/>
        <v>2775.74</v>
      </c>
      <c r="H451" s="164">
        <v>2775.74</v>
      </c>
      <c r="I451" s="164"/>
      <c r="J451" s="164"/>
      <c r="K451" s="164"/>
      <c r="L451" s="160" t="s">
        <v>150</v>
      </c>
      <c r="M451" s="513"/>
    </row>
    <row r="452" spans="1:13" s="38" customFormat="1" ht="27" customHeight="1" thickBot="1">
      <c r="A452" s="373"/>
      <c r="B452" s="505"/>
      <c r="C452" s="506"/>
      <c r="D452" s="128" t="s">
        <v>149</v>
      </c>
      <c r="E452" s="157">
        <f t="shared" si="86"/>
        <v>3161.26</v>
      </c>
      <c r="F452" s="157"/>
      <c r="G452" s="157">
        <f t="shared" si="87"/>
        <v>3161.26</v>
      </c>
      <c r="H452" s="157">
        <v>3161.26</v>
      </c>
      <c r="I452" s="157"/>
      <c r="J452" s="157"/>
      <c r="K452" s="157"/>
      <c r="L452" s="160" t="s">
        <v>149</v>
      </c>
      <c r="M452" s="513"/>
    </row>
    <row r="453" spans="1:13" s="38" customFormat="1" ht="27" customHeight="1" thickBot="1">
      <c r="A453" s="373"/>
      <c r="B453" s="505"/>
      <c r="C453" s="506"/>
      <c r="D453" s="79">
        <v>2022</v>
      </c>
      <c r="E453" s="161">
        <f t="shared" si="86"/>
        <v>5937</v>
      </c>
      <c r="F453" s="161">
        <f>F454+F455</f>
        <v>0</v>
      </c>
      <c r="G453" s="161">
        <f t="shared" si="87"/>
        <v>5937</v>
      </c>
      <c r="H453" s="161">
        <f>H454+H455</f>
        <v>5937</v>
      </c>
      <c r="I453" s="161">
        <f>I454+I455</f>
        <v>0</v>
      </c>
      <c r="J453" s="161">
        <f>J454+J455</f>
        <v>0</v>
      </c>
      <c r="K453" s="162">
        <f>K454+K455</f>
        <v>0</v>
      </c>
      <c r="L453" s="163"/>
      <c r="M453" s="513"/>
    </row>
    <row r="454" spans="1:13" s="38" customFormat="1" ht="25.5" customHeight="1">
      <c r="A454" s="373"/>
      <c r="B454" s="505"/>
      <c r="C454" s="506"/>
      <c r="D454" s="78" t="s">
        <v>150</v>
      </c>
      <c r="E454" s="164">
        <f t="shared" si="86"/>
        <v>2775.74</v>
      </c>
      <c r="F454" s="164"/>
      <c r="G454" s="164">
        <f t="shared" si="87"/>
        <v>2775.74</v>
      </c>
      <c r="H454" s="164">
        <v>2775.74</v>
      </c>
      <c r="I454" s="164"/>
      <c r="J454" s="164"/>
      <c r="K454" s="164"/>
      <c r="L454" s="160" t="s">
        <v>150</v>
      </c>
      <c r="M454" s="513"/>
    </row>
    <row r="455" spans="1:13" s="38" customFormat="1" ht="27.75" customHeight="1" thickBot="1">
      <c r="A455" s="373"/>
      <c r="B455" s="505"/>
      <c r="C455" s="506"/>
      <c r="D455" s="128" t="s">
        <v>149</v>
      </c>
      <c r="E455" s="157">
        <f t="shared" si="86"/>
        <v>3161.26</v>
      </c>
      <c r="F455" s="157"/>
      <c r="G455" s="157">
        <f t="shared" si="87"/>
        <v>3161.26</v>
      </c>
      <c r="H455" s="157">
        <v>3161.26</v>
      </c>
      <c r="I455" s="157"/>
      <c r="J455" s="157"/>
      <c r="K455" s="157"/>
      <c r="L455" s="182" t="s">
        <v>149</v>
      </c>
      <c r="M455" s="513"/>
    </row>
    <row r="456" spans="1:13" s="38" customFormat="1" ht="27.75" customHeight="1" thickBot="1">
      <c r="A456" s="373"/>
      <c r="B456" s="505"/>
      <c r="C456" s="506"/>
      <c r="D456" s="79">
        <v>2023</v>
      </c>
      <c r="E456" s="161">
        <f>F456+G456+J456</f>
        <v>5937</v>
      </c>
      <c r="F456" s="161"/>
      <c r="G456" s="161">
        <f>H456+I456</f>
        <v>5937</v>
      </c>
      <c r="H456" s="161">
        <f>H457+H458</f>
        <v>5937</v>
      </c>
      <c r="I456" s="161">
        <f>I457+I458</f>
        <v>0</v>
      </c>
      <c r="J456" s="161">
        <f>J457+J458</f>
        <v>0</v>
      </c>
      <c r="K456" s="161">
        <f>K457+K458</f>
        <v>0</v>
      </c>
      <c r="L456" s="240"/>
      <c r="M456" s="513"/>
    </row>
    <row r="457" spans="1:13" s="38" customFormat="1" ht="27" customHeight="1">
      <c r="A457" s="373"/>
      <c r="B457" s="505"/>
      <c r="C457" s="506"/>
      <c r="D457" s="78" t="s">
        <v>150</v>
      </c>
      <c r="E457" s="164">
        <f>F457+G457+J457</f>
        <v>2775.74</v>
      </c>
      <c r="F457" s="164"/>
      <c r="G457" s="164">
        <f>H457+I457</f>
        <v>2775.74</v>
      </c>
      <c r="H457" s="164">
        <v>2775.74</v>
      </c>
      <c r="I457" s="164"/>
      <c r="J457" s="164"/>
      <c r="K457" s="164"/>
      <c r="L457" s="241" t="s">
        <v>150</v>
      </c>
      <c r="M457" s="513"/>
    </row>
    <row r="458" spans="1:13" s="38" customFormat="1" ht="27.75" customHeight="1" thickBot="1">
      <c r="A458" s="374"/>
      <c r="B458" s="507"/>
      <c r="C458" s="508"/>
      <c r="D458" s="128" t="s">
        <v>149</v>
      </c>
      <c r="E458" s="157">
        <f>F458+G458+J458</f>
        <v>3161.26</v>
      </c>
      <c r="F458" s="157"/>
      <c r="G458" s="157">
        <f>H458+I458</f>
        <v>3161.26</v>
      </c>
      <c r="H458" s="157">
        <v>3161.26</v>
      </c>
      <c r="I458" s="157"/>
      <c r="J458" s="157"/>
      <c r="K458" s="157"/>
      <c r="L458" s="182" t="s">
        <v>149</v>
      </c>
      <c r="M458" s="514"/>
    </row>
    <row r="459" spans="1:13" s="38" customFormat="1" ht="27" customHeight="1">
      <c r="A459" s="500"/>
      <c r="B459" s="470" t="s">
        <v>38</v>
      </c>
      <c r="C459" s="471"/>
      <c r="D459" s="173">
        <v>2017</v>
      </c>
      <c r="E459" s="159">
        <f aca="true" t="shared" si="88" ref="E459:J459">E363+E372</f>
        <v>216780.416</v>
      </c>
      <c r="F459" s="159">
        <f t="shared" si="88"/>
        <v>124615.2</v>
      </c>
      <c r="G459" s="159">
        <f t="shared" si="88"/>
        <v>727</v>
      </c>
      <c r="H459" s="159">
        <f t="shared" si="88"/>
        <v>0</v>
      </c>
      <c r="I459" s="159">
        <f>I363+I372</f>
        <v>727</v>
      </c>
      <c r="J459" s="159">
        <f t="shared" si="88"/>
        <v>91438.216</v>
      </c>
      <c r="K459" s="159">
        <f>K372+K363+K353+K296+K295+K294+K293+K292+K291+K290+K239+K238</f>
        <v>0</v>
      </c>
      <c r="L459" s="485"/>
      <c r="M459" s="488"/>
    </row>
    <row r="460" spans="1:13" s="38" customFormat="1" ht="27" customHeight="1">
      <c r="A460" s="501"/>
      <c r="B460" s="472"/>
      <c r="C460" s="473"/>
      <c r="D460" s="17">
        <v>2018</v>
      </c>
      <c r="E460" s="22">
        <f aca="true" t="shared" si="89" ref="E460:J460">E382+E374</f>
        <v>209116.99978</v>
      </c>
      <c r="F460" s="22">
        <f t="shared" si="89"/>
        <v>137344.5</v>
      </c>
      <c r="G460" s="22">
        <f t="shared" si="89"/>
        <v>1006.9820000000001</v>
      </c>
      <c r="H460" s="22">
        <f t="shared" si="89"/>
        <v>0</v>
      </c>
      <c r="I460" s="22">
        <f t="shared" si="89"/>
        <v>1006.9820000000001</v>
      </c>
      <c r="J460" s="22">
        <f t="shared" si="89"/>
        <v>70765.51778000001</v>
      </c>
      <c r="K460" s="22">
        <f>K374</f>
        <v>0</v>
      </c>
      <c r="L460" s="486"/>
      <c r="M460" s="489"/>
    </row>
    <row r="461" spans="1:13" s="38" customFormat="1" ht="27" customHeight="1">
      <c r="A461" s="501"/>
      <c r="B461" s="472"/>
      <c r="C461" s="473"/>
      <c r="D461" s="17">
        <v>2019</v>
      </c>
      <c r="E461" s="22">
        <f aca="true" t="shared" si="90" ref="E461:K461">E388</f>
        <v>229770.53044</v>
      </c>
      <c r="F461" s="22">
        <f t="shared" si="90"/>
        <v>150533.8</v>
      </c>
      <c r="G461" s="22">
        <f t="shared" si="90"/>
        <v>1276.052</v>
      </c>
      <c r="H461" s="22">
        <f t="shared" si="90"/>
        <v>0</v>
      </c>
      <c r="I461" s="22">
        <f t="shared" si="90"/>
        <v>1276.052</v>
      </c>
      <c r="J461" s="22">
        <f>J388</f>
        <v>77960.67844000002</v>
      </c>
      <c r="K461" s="22">
        <f t="shared" si="90"/>
        <v>0</v>
      </c>
      <c r="L461" s="486"/>
      <c r="M461" s="489"/>
    </row>
    <row r="462" spans="1:13" s="38" customFormat="1" ht="27" customHeight="1">
      <c r="A462" s="501"/>
      <c r="B462" s="472"/>
      <c r="C462" s="473"/>
      <c r="D462" s="17">
        <v>2020</v>
      </c>
      <c r="E462" s="22">
        <f aca="true" t="shared" si="91" ref="E462:K462">E398+E447</f>
        <v>237581.17301</v>
      </c>
      <c r="F462" s="22">
        <f t="shared" si="91"/>
        <v>151107</v>
      </c>
      <c r="G462" s="22">
        <f t="shared" si="91"/>
        <v>3250.1</v>
      </c>
      <c r="H462" s="22">
        <f t="shared" si="91"/>
        <v>1979.1</v>
      </c>
      <c r="I462" s="22">
        <f t="shared" si="91"/>
        <v>1271</v>
      </c>
      <c r="J462" s="22">
        <f t="shared" si="91"/>
        <v>83224.07301000001</v>
      </c>
      <c r="K462" s="22">
        <f t="shared" si="91"/>
        <v>0</v>
      </c>
      <c r="L462" s="486"/>
      <c r="M462" s="489"/>
    </row>
    <row r="463" spans="1:13" s="38" customFormat="1" ht="27" customHeight="1">
      <c r="A463" s="501"/>
      <c r="B463" s="472"/>
      <c r="C463" s="473"/>
      <c r="D463" s="17">
        <v>2021</v>
      </c>
      <c r="E463" s="22">
        <f aca="true" t="shared" si="92" ref="E463:K463">E450+E408</f>
        <v>237261.33399999997</v>
      </c>
      <c r="F463" s="22">
        <f t="shared" si="92"/>
        <v>150227</v>
      </c>
      <c r="G463" s="22">
        <f t="shared" si="92"/>
        <v>7334.8</v>
      </c>
      <c r="H463" s="22">
        <f t="shared" si="92"/>
        <v>5937</v>
      </c>
      <c r="I463" s="22">
        <f t="shared" si="92"/>
        <v>1397.8</v>
      </c>
      <c r="J463" s="22">
        <f t="shared" si="92"/>
        <v>79699.53399999999</v>
      </c>
      <c r="K463" s="22">
        <f t="shared" si="92"/>
        <v>0</v>
      </c>
      <c r="L463" s="486"/>
      <c r="M463" s="489"/>
    </row>
    <row r="464" spans="1:13" s="38" customFormat="1" ht="27" customHeight="1">
      <c r="A464" s="501"/>
      <c r="B464" s="472"/>
      <c r="C464" s="473"/>
      <c r="D464" s="17">
        <v>2022</v>
      </c>
      <c r="E464" s="22">
        <f aca="true" t="shared" si="93" ref="E464:K464">E453+E421</f>
        <v>229159.331</v>
      </c>
      <c r="F464" s="22">
        <f t="shared" si="93"/>
        <v>149095.8</v>
      </c>
      <c r="G464" s="22">
        <f t="shared" si="93"/>
        <v>7334.8</v>
      </c>
      <c r="H464" s="22">
        <f t="shared" si="93"/>
        <v>5937</v>
      </c>
      <c r="I464" s="22">
        <f t="shared" si="93"/>
        <v>1397.8</v>
      </c>
      <c r="J464" s="22">
        <f t="shared" si="93"/>
        <v>72728.73099999999</v>
      </c>
      <c r="K464" s="22">
        <f t="shared" si="93"/>
        <v>0</v>
      </c>
      <c r="L464" s="486"/>
      <c r="M464" s="489"/>
    </row>
    <row r="465" spans="1:13" s="38" customFormat="1" ht="27" customHeight="1" thickBot="1">
      <c r="A465" s="502"/>
      <c r="B465" s="474"/>
      <c r="C465" s="475"/>
      <c r="D465" s="525">
        <v>2023</v>
      </c>
      <c r="E465" s="526">
        <f aca="true" t="shared" si="94" ref="E465:K465">E456+E434</f>
        <v>229303.43099999998</v>
      </c>
      <c r="F465" s="526">
        <f t="shared" si="94"/>
        <v>149165.19999999998</v>
      </c>
      <c r="G465" s="526">
        <f t="shared" si="94"/>
        <v>7334.8</v>
      </c>
      <c r="H465" s="526">
        <f t="shared" si="94"/>
        <v>5937</v>
      </c>
      <c r="I465" s="526">
        <f t="shared" si="94"/>
        <v>1397.8</v>
      </c>
      <c r="J465" s="526">
        <f t="shared" si="94"/>
        <v>72803.431</v>
      </c>
      <c r="K465" s="526">
        <f t="shared" si="94"/>
        <v>0</v>
      </c>
      <c r="L465" s="487"/>
      <c r="M465" s="490"/>
    </row>
    <row r="466" spans="1:13" s="38" customFormat="1" ht="27" customHeight="1">
      <c r="A466" s="491" t="s">
        <v>57</v>
      </c>
      <c r="B466" s="404"/>
      <c r="C466" s="404"/>
      <c r="D466" s="404"/>
      <c r="E466" s="404"/>
      <c r="F466" s="404"/>
      <c r="G466" s="404"/>
      <c r="H466" s="404"/>
      <c r="I466" s="404"/>
      <c r="J466" s="404"/>
      <c r="K466" s="404"/>
      <c r="L466" s="404"/>
      <c r="M466" s="492"/>
    </row>
    <row r="467" spans="1:13" s="38" customFormat="1" ht="27" customHeight="1">
      <c r="A467" s="423" t="s">
        <v>137</v>
      </c>
      <c r="B467" s="407"/>
      <c r="C467" s="407"/>
      <c r="D467" s="407"/>
      <c r="E467" s="407"/>
      <c r="F467" s="407"/>
      <c r="G467" s="407"/>
      <c r="H467" s="407"/>
      <c r="I467" s="407"/>
      <c r="J467" s="407"/>
      <c r="K467" s="407"/>
      <c r="L467" s="408"/>
      <c r="M467" s="12"/>
    </row>
    <row r="468" spans="1:13" s="38" customFormat="1" ht="29.25" customHeight="1" thickBot="1">
      <c r="A468" s="482" t="s">
        <v>22</v>
      </c>
      <c r="B468" s="483"/>
      <c r="C468" s="483"/>
      <c r="D468" s="483"/>
      <c r="E468" s="483"/>
      <c r="F468" s="483"/>
      <c r="G468" s="483"/>
      <c r="H468" s="483"/>
      <c r="I468" s="483"/>
      <c r="J468" s="483"/>
      <c r="K468" s="483"/>
      <c r="L468" s="483"/>
      <c r="M468" s="484"/>
    </row>
    <row r="469" spans="1:13" s="38" customFormat="1" ht="24.75" customHeight="1">
      <c r="A469" s="479" t="s">
        <v>87</v>
      </c>
      <c r="B469" s="476" t="s">
        <v>138</v>
      </c>
      <c r="C469" s="476"/>
      <c r="D469" s="31">
        <v>2017</v>
      </c>
      <c r="E469" s="183">
        <f aca="true" t="shared" si="95" ref="E469:E475">F469+G469+J469+K469</f>
        <v>7260.311</v>
      </c>
      <c r="F469" s="184"/>
      <c r="G469" s="184">
        <f aca="true" t="shared" si="96" ref="G469:G475">H469+I469</f>
        <v>0</v>
      </c>
      <c r="H469" s="183">
        <v>0</v>
      </c>
      <c r="I469" s="183">
        <v>0</v>
      </c>
      <c r="J469" s="183">
        <v>7260.311</v>
      </c>
      <c r="K469" s="184">
        <v>0</v>
      </c>
      <c r="L469" s="185" t="s">
        <v>147</v>
      </c>
      <c r="M469" s="447" t="s">
        <v>66</v>
      </c>
    </row>
    <row r="470" spans="1:13" s="38" customFormat="1" ht="24.75" customHeight="1">
      <c r="A470" s="480"/>
      <c r="B470" s="477"/>
      <c r="C470" s="477"/>
      <c r="D470" s="6">
        <v>2018</v>
      </c>
      <c r="E470" s="21">
        <f t="shared" si="95"/>
        <v>8308.2425</v>
      </c>
      <c r="F470" s="8"/>
      <c r="G470" s="8">
        <f t="shared" si="96"/>
        <v>0</v>
      </c>
      <c r="H470" s="21">
        <v>0</v>
      </c>
      <c r="I470" s="21">
        <v>0</v>
      </c>
      <c r="J470" s="21">
        <f>8213.1695+95.073</f>
        <v>8308.2425</v>
      </c>
      <c r="K470" s="8">
        <v>0</v>
      </c>
      <c r="L470" s="186" t="s">
        <v>147</v>
      </c>
      <c r="M470" s="448"/>
    </row>
    <row r="471" spans="1:13" s="38" customFormat="1" ht="24.75" customHeight="1">
      <c r="A471" s="480"/>
      <c r="B471" s="477"/>
      <c r="C471" s="477"/>
      <c r="D471" s="6">
        <v>2019</v>
      </c>
      <c r="E471" s="21">
        <f t="shared" si="95"/>
        <v>8783.56033</v>
      </c>
      <c r="F471" s="8"/>
      <c r="G471" s="8">
        <f t="shared" si="96"/>
        <v>0</v>
      </c>
      <c r="H471" s="21">
        <v>0</v>
      </c>
      <c r="I471" s="21">
        <v>0</v>
      </c>
      <c r="J471" s="21">
        <f>8729.252+86.622-32.31367</f>
        <v>8783.56033</v>
      </c>
      <c r="K471" s="21">
        <v>0</v>
      </c>
      <c r="L471" s="186" t="s">
        <v>147</v>
      </c>
      <c r="M471" s="448"/>
    </row>
    <row r="472" spans="1:13" s="38" customFormat="1" ht="24.75" customHeight="1">
      <c r="A472" s="480"/>
      <c r="B472" s="477"/>
      <c r="C472" s="477"/>
      <c r="D472" s="6">
        <v>2020</v>
      </c>
      <c r="E472" s="21">
        <f t="shared" si="95"/>
        <v>9039.217999999999</v>
      </c>
      <c r="F472" s="8"/>
      <c r="G472" s="8">
        <f t="shared" si="96"/>
        <v>0</v>
      </c>
      <c r="H472" s="21">
        <v>0</v>
      </c>
      <c r="I472" s="21">
        <v>0</v>
      </c>
      <c r="J472" s="21">
        <f>8976.345+62.873</f>
        <v>9039.217999999999</v>
      </c>
      <c r="K472" s="8">
        <v>0</v>
      </c>
      <c r="L472" s="186" t="s">
        <v>147</v>
      </c>
      <c r="M472" s="448"/>
    </row>
    <row r="473" spans="1:13" s="38" customFormat="1" ht="24.75" customHeight="1">
      <c r="A473" s="480"/>
      <c r="B473" s="477"/>
      <c r="C473" s="477"/>
      <c r="D473" s="6">
        <v>2021</v>
      </c>
      <c r="E473" s="21">
        <f t="shared" si="95"/>
        <v>9181.875</v>
      </c>
      <c r="F473" s="8"/>
      <c r="G473" s="8">
        <f t="shared" si="96"/>
        <v>0</v>
      </c>
      <c r="H473" s="21">
        <v>0</v>
      </c>
      <c r="I473" s="21">
        <v>0</v>
      </c>
      <c r="J473" s="21">
        <v>9181.875</v>
      </c>
      <c r="K473" s="8">
        <v>0</v>
      </c>
      <c r="L473" s="186" t="s">
        <v>147</v>
      </c>
      <c r="M473" s="448"/>
    </row>
    <row r="474" spans="1:13" s="38" customFormat="1" ht="24.75" customHeight="1">
      <c r="A474" s="480"/>
      <c r="B474" s="477"/>
      <c r="C474" s="477"/>
      <c r="D474" s="6">
        <v>2022</v>
      </c>
      <c r="E474" s="21">
        <f t="shared" si="95"/>
        <v>8411.952</v>
      </c>
      <c r="F474" s="8"/>
      <c r="G474" s="8">
        <f t="shared" si="96"/>
        <v>0</v>
      </c>
      <c r="H474" s="21">
        <v>0</v>
      </c>
      <c r="I474" s="21">
        <v>0</v>
      </c>
      <c r="J474" s="21">
        <v>8411.952</v>
      </c>
      <c r="K474" s="8">
        <v>0</v>
      </c>
      <c r="L474" s="186" t="s">
        <v>147</v>
      </c>
      <c r="M474" s="448"/>
    </row>
    <row r="475" spans="1:13" s="38" customFormat="1" ht="24.75" customHeight="1" thickBot="1">
      <c r="A475" s="481"/>
      <c r="B475" s="478"/>
      <c r="C475" s="478"/>
      <c r="D475" s="34">
        <v>2023</v>
      </c>
      <c r="E475" s="187">
        <f t="shared" si="95"/>
        <v>8411.952</v>
      </c>
      <c r="F475" s="188"/>
      <c r="G475" s="188">
        <f t="shared" si="96"/>
        <v>0</v>
      </c>
      <c r="H475" s="187">
        <v>0</v>
      </c>
      <c r="I475" s="187">
        <v>0</v>
      </c>
      <c r="J475" s="187">
        <v>8411.952</v>
      </c>
      <c r="K475" s="188">
        <v>0</v>
      </c>
      <c r="L475" s="189" t="s">
        <v>147</v>
      </c>
      <c r="M475" s="449"/>
    </row>
    <row r="476" spans="1:13" s="38" customFormat="1" ht="27" customHeight="1">
      <c r="A476" s="403" t="s">
        <v>18</v>
      </c>
      <c r="B476" s="404"/>
      <c r="C476" s="404"/>
      <c r="D476" s="404"/>
      <c r="E476" s="404"/>
      <c r="F476" s="404"/>
      <c r="G476" s="404"/>
      <c r="H476" s="404"/>
      <c r="I476" s="404"/>
      <c r="J476" s="404"/>
      <c r="K476" s="404"/>
      <c r="L476" s="404"/>
      <c r="M476" s="405"/>
    </row>
    <row r="477" spans="1:13" s="38" customFormat="1" ht="27" customHeight="1">
      <c r="A477" s="406" t="s">
        <v>23</v>
      </c>
      <c r="B477" s="407"/>
      <c r="C477" s="407"/>
      <c r="D477" s="407"/>
      <c r="E477" s="407"/>
      <c r="F477" s="407"/>
      <c r="G477" s="407"/>
      <c r="H477" s="407"/>
      <c r="I477" s="407"/>
      <c r="J477" s="407"/>
      <c r="K477" s="407"/>
      <c r="L477" s="407"/>
      <c r="M477" s="408"/>
    </row>
    <row r="478" spans="1:13" s="38" customFormat="1" ht="27" customHeight="1" thickBot="1">
      <c r="A478" s="409" t="s">
        <v>24</v>
      </c>
      <c r="B478" s="410"/>
      <c r="C478" s="410"/>
      <c r="D478" s="410"/>
      <c r="E478" s="410"/>
      <c r="F478" s="410"/>
      <c r="G478" s="410"/>
      <c r="H478" s="410"/>
      <c r="I478" s="410"/>
      <c r="J478" s="410"/>
      <c r="K478" s="410"/>
      <c r="L478" s="410"/>
      <c r="M478" s="408"/>
    </row>
    <row r="479" spans="1:13" s="38" customFormat="1" ht="24.75" customHeight="1">
      <c r="A479" s="417" t="s">
        <v>88</v>
      </c>
      <c r="B479" s="411" t="s">
        <v>139</v>
      </c>
      <c r="C479" s="412"/>
      <c r="D479" s="31">
        <v>2017</v>
      </c>
      <c r="E479" s="570">
        <f aca="true" t="shared" si="97" ref="E479:E500">F479+G479+J479+K479</f>
        <v>292.4</v>
      </c>
      <c r="F479" s="570">
        <v>292.4</v>
      </c>
      <c r="G479" s="570">
        <f>H479+I479</f>
        <v>0</v>
      </c>
      <c r="H479" s="570"/>
      <c r="I479" s="570">
        <v>0</v>
      </c>
      <c r="J479" s="570">
        <v>0</v>
      </c>
      <c r="K479" s="570">
        <v>0</v>
      </c>
      <c r="L479" s="185" t="s">
        <v>3</v>
      </c>
      <c r="M479" s="447" t="s">
        <v>58</v>
      </c>
    </row>
    <row r="480" spans="1:13" s="38" customFormat="1" ht="24.75" customHeight="1">
      <c r="A480" s="418"/>
      <c r="B480" s="413"/>
      <c r="C480" s="414"/>
      <c r="D480" s="6">
        <v>2018</v>
      </c>
      <c r="E480" s="10">
        <f t="shared" si="97"/>
        <v>233.2</v>
      </c>
      <c r="F480" s="10">
        <v>233.2</v>
      </c>
      <c r="G480" s="10">
        <f aca="true" t="shared" si="98" ref="G480:G499">H480+I480</f>
        <v>0</v>
      </c>
      <c r="H480" s="10"/>
      <c r="I480" s="10">
        <v>0</v>
      </c>
      <c r="J480" s="10">
        <v>0</v>
      </c>
      <c r="K480" s="10">
        <v>0</v>
      </c>
      <c r="L480" s="186" t="s">
        <v>3</v>
      </c>
      <c r="M480" s="448"/>
    </row>
    <row r="481" spans="1:13" s="38" customFormat="1" ht="24.75" customHeight="1">
      <c r="A481" s="418"/>
      <c r="B481" s="413"/>
      <c r="C481" s="414"/>
      <c r="D481" s="6">
        <v>2019</v>
      </c>
      <c r="E481" s="10">
        <f t="shared" si="97"/>
        <v>281.9</v>
      </c>
      <c r="F481" s="10">
        <v>281.9</v>
      </c>
      <c r="G481" s="10">
        <f t="shared" si="98"/>
        <v>0</v>
      </c>
      <c r="H481" s="10"/>
      <c r="I481" s="10">
        <v>0</v>
      </c>
      <c r="J481" s="10">
        <v>0</v>
      </c>
      <c r="K481" s="10">
        <v>0</v>
      </c>
      <c r="L481" s="186" t="s">
        <v>3</v>
      </c>
      <c r="M481" s="448"/>
    </row>
    <row r="482" spans="1:13" s="38" customFormat="1" ht="24.75" customHeight="1">
      <c r="A482" s="418"/>
      <c r="B482" s="413"/>
      <c r="C482" s="414"/>
      <c r="D482" s="6">
        <v>2020</v>
      </c>
      <c r="E482" s="10">
        <f>F482+G482+J482+K482</f>
        <v>216.2</v>
      </c>
      <c r="F482" s="10">
        <v>216.2</v>
      </c>
      <c r="G482" s="10">
        <f>H482+I482</f>
        <v>0</v>
      </c>
      <c r="H482" s="10"/>
      <c r="I482" s="10">
        <v>0</v>
      </c>
      <c r="J482" s="10">
        <v>0</v>
      </c>
      <c r="K482" s="10">
        <v>0</v>
      </c>
      <c r="L482" s="186" t="s">
        <v>3</v>
      </c>
      <c r="M482" s="448"/>
    </row>
    <row r="483" spans="1:13" s="38" customFormat="1" ht="24.75" customHeight="1">
      <c r="A483" s="418"/>
      <c r="B483" s="413"/>
      <c r="C483" s="414"/>
      <c r="D483" s="6">
        <v>2021</v>
      </c>
      <c r="E483" s="10">
        <f>F483+G483+J483+K483</f>
        <v>145.4</v>
      </c>
      <c r="F483" s="10">
        <v>145.4</v>
      </c>
      <c r="G483" s="10">
        <f>H483+I483</f>
        <v>0</v>
      </c>
      <c r="H483" s="10"/>
      <c r="I483" s="10">
        <v>0</v>
      </c>
      <c r="J483" s="10">
        <v>0</v>
      </c>
      <c r="K483" s="10">
        <v>0</v>
      </c>
      <c r="L483" s="186" t="s">
        <v>3</v>
      </c>
      <c r="M483" s="448"/>
    </row>
    <row r="484" spans="1:13" s="38" customFormat="1" ht="24.75" customHeight="1">
      <c r="A484" s="418"/>
      <c r="B484" s="413"/>
      <c r="C484" s="414"/>
      <c r="D484" s="6">
        <v>2022</v>
      </c>
      <c r="E484" s="10">
        <f t="shared" si="97"/>
        <v>145.4</v>
      </c>
      <c r="F484" s="10">
        <v>145.4</v>
      </c>
      <c r="G484" s="10">
        <f t="shared" si="98"/>
        <v>0</v>
      </c>
      <c r="H484" s="10"/>
      <c r="I484" s="10">
        <v>0</v>
      </c>
      <c r="J484" s="10">
        <v>0</v>
      </c>
      <c r="K484" s="10">
        <v>0</v>
      </c>
      <c r="L484" s="186" t="s">
        <v>3</v>
      </c>
      <c r="M484" s="448"/>
    </row>
    <row r="485" spans="1:13" s="38" customFormat="1" ht="24.75" customHeight="1" thickBot="1">
      <c r="A485" s="419"/>
      <c r="B485" s="415"/>
      <c r="C485" s="416"/>
      <c r="D485" s="34">
        <v>2023</v>
      </c>
      <c r="E485" s="10">
        <f t="shared" si="97"/>
        <v>145.4</v>
      </c>
      <c r="F485" s="561">
        <v>145.4</v>
      </c>
      <c r="G485" s="561">
        <v>0</v>
      </c>
      <c r="H485" s="561">
        <v>0</v>
      </c>
      <c r="I485" s="561">
        <v>0</v>
      </c>
      <c r="J485" s="561">
        <v>0</v>
      </c>
      <c r="K485" s="561">
        <v>0</v>
      </c>
      <c r="L485" s="189"/>
      <c r="M485" s="449"/>
    </row>
    <row r="486" spans="1:13" s="38" customFormat="1" ht="24.75" customHeight="1">
      <c r="A486" s="417" t="s">
        <v>89</v>
      </c>
      <c r="B486" s="344" t="s">
        <v>140</v>
      </c>
      <c r="C486" s="345"/>
      <c r="D486" s="31">
        <v>2017</v>
      </c>
      <c r="E486" s="570">
        <f t="shared" si="97"/>
        <v>96.8</v>
      </c>
      <c r="F486" s="570">
        <v>0</v>
      </c>
      <c r="G486" s="570">
        <f t="shared" si="98"/>
        <v>96.8</v>
      </c>
      <c r="H486" s="570"/>
      <c r="I486" s="570">
        <v>96.8</v>
      </c>
      <c r="J486" s="570">
        <v>0</v>
      </c>
      <c r="K486" s="570">
        <v>0</v>
      </c>
      <c r="L486" s="185" t="s">
        <v>3</v>
      </c>
      <c r="M486" s="447" t="s">
        <v>59</v>
      </c>
    </row>
    <row r="487" spans="1:13" s="38" customFormat="1" ht="24.75" customHeight="1">
      <c r="A487" s="418"/>
      <c r="B487" s="293"/>
      <c r="C487" s="294"/>
      <c r="D487" s="6">
        <v>2018</v>
      </c>
      <c r="E487" s="10">
        <f t="shared" si="97"/>
        <v>127.3</v>
      </c>
      <c r="F487" s="10">
        <v>0</v>
      </c>
      <c r="G487" s="10">
        <f t="shared" si="98"/>
        <v>127.3</v>
      </c>
      <c r="H487" s="10"/>
      <c r="I487" s="10">
        <v>127.3</v>
      </c>
      <c r="J487" s="10">
        <v>0</v>
      </c>
      <c r="K487" s="10">
        <v>0</v>
      </c>
      <c r="L487" s="186" t="s">
        <v>3</v>
      </c>
      <c r="M487" s="448"/>
    </row>
    <row r="488" spans="1:13" s="38" customFormat="1" ht="24.75" customHeight="1">
      <c r="A488" s="418"/>
      <c r="B488" s="293"/>
      <c r="C488" s="294"/>
      <c r="D488" s="6">
        <v>2019</v>
      </c>
      <c r="E488" s="10">
        <f t="shared" si="97"/>
        <v>132.7</v>
      </c>
      <c r="F488" s="10">
        <v>0</v>
      </c>
      <c r="G488" s="10">
        <f t="shared" si="98"/>
        <v>132.7</v>
      </c>
      <c r="H488" s="10"/>
      <c r="I488" s="10">
        <v>132.7</v>
      </c>
      <c r="J488" s="10">
        <v>0</v>
      </c>
      <c r="K488" s="10">
        <v>0</v>
      </c>
      <c r="L488" s="186" t="s">
        <v>3</v>
      </c>
      <c r="M488" s="448"/>
    </row>
    <row r="489" spans="1:13" s="38" customFormat="1" ht="24.75" customHeight="1">
      <c r="A489" s="418"/>
      <c r="B489" s="293"/>
      <c r="C489" s="294"/>
      <c r="D489" s="6">
        <v>2020</v>
      </c>
      <c r="E489" s="10">
        <f>F489+G489+J489+K489</f>
        <v>134.4</v>
      </c>
      <c r="F489" s="10">
        <v>134.4</v>
      </c>
      <c r="G489" s="10">
        <f>H489+I489</f>
        <v>0</v>
      </c>
      <c r="H489" s="10"/>
      <c r="I489" s="10">
        <v>0</v>
      </c>
      <c r="J489" s="10">
        <v>0</v>
      </c>
      <c r="K489" s="10">
        <v>0</v>
      </c>
      <c r="L489" s="186" t="s">
        <v>3</v>
      </c>
      <c r="M489" s="448"/>
    </row>
    <row r="490" spans="1:13" s="38" customFormat="1" ht="24.75" customHeight="1">
      <c r="A490" s="418"/>
      <c r="B490" s="293"/>
      <c r="C490" s="294"/>
      <c r="D490" s="6">
        <v>2021</v>
      </c>
      <c r="E490" s="10">
        <f>F490+G490+J490+K490</f>
        <v>138.7</v>
      </c>
      <c r="F490" s="10">
        <v>138.7</v>
      </c>
      <c r="G490" s="10">
        <f>H490+I490</f>
        <v>0</v>
      </c>
      <c r="H490" s="10"/>
      <c r="I490" s="10">
        <v>0</v>
      </c>
      <c r="J490" s="10">
        <v>0</v>
      </c>
      <c r="K490" s="10">
        <v>0</v>
      </c>
      <c r="L490" s="186" t="s">
        <v>3</v>
      </c>
      <c r="M490" s="448"/>
    </row>
    <row r="491" spans="1:13" s="38" customFormat="1" ht="24.75" customHeight="1">
      <c r="A491" s="418"/>
      <c r="B491" s="293"/>
      <c r="C491" s="294"/>
      <c r="D491" s="6">
        <v>2022</v>
      </c>
      <c r="E491" s="10">
        <f t="shared" si="97"/>
        <v>138.7</v>
      </c>
      <c r="F491" s="10">
        <v>138.7</v>
      </c>
      <c r="G491" s="10">
        <f t="shared" si="98"/>
        <v>0</v>
      </c>
      <c r="H491" s="10"/>
      <c r="I491" s="10">
        <v>0</v>
      </c>
      <c r="J491" s="10">
        <v>0</v>
      </c>
      <c r="K491" s="10">
        <v>0</v>
      </c>
      <c r="L491" s="186" t="s">
        <v>3</v>
      </c>
      <c r="M491" s="448"/>
    </row>
    <row r="492" spans="1:13" s="38" customFormat="1" ht="24.75" customHeight="1" thickBot="1">
      <c r="A492" s="419"/>
      <c r="B492" s="346"/>
      <c r="C492" s="347"/>
      <c r="D492" s="34">
        <v>2023</v>
      </c>
      <c r="E492" s="10">
        <f t="shared" si="97"/>
        <v>138.7</v>
      </c>
      <c r="F492" s="10">
        <v>138.7</v>
      </c>
      <c r="G492" s="561"/>
      <c r="H492" s="561"/>
      <c r="I492" s="561"/>
      <c r="J492" s="561"/>
      <c r="K492" s="561"/>
      <c r="L492" s="189"/>
      <c r="M492" s="449"/>
    </row>
    <row r="493" spans="1:13" s="38" customFormat="1" ht="24.75" customHeight="1">
      <c r="A493" s="417" t="s">
        <v>90</v>
      </c>
      <c r="B493" s="344" t="s">
        <v>141</v>
      </c>
      <c r="C493" s="345"/>
      <c r="D493" s="31">
        <v>2017</v>
      </c>
      <c r="E493" s="570">
        <f t="shared" si="97"/>
        <v>5391.1</v>
      </c>
      <c r="F493" s="570">
        <v>5391.1</v>
      </c>
      <c r="G493" s="570">
        <f t="shared" si="98"/>
        <v>0</v>
      </c>
      <c r="H493" s="570"/>
      <c r="I493" s="570">
        <v>0</v>
      </c>
      <c r="J493" s="570">
        <v>0</v>
      </c>
      <c r="K493" s="570">
        <v>0</v>
      </c>
      <c r="L493" s="185" t="s">
        <v>3</v>
      </c>
      <c r="M493" s="447" t="s">
        <v>60</v>
      </c>
    </row>
    <row r="494" spans="1:13" s="38" customFormat="1" ht="24.75" customHeight="1">
      <c r="A494" s="418"/>
      <c r="B494" s="293"/>
      <c r="C494" s="294"/>
      <c r="D494" s="6">
        <v>2018</v>
      </c>
      <c r="E494" s="10">
        <f t="shared" si="97"/>
        <v>5870.4</v>
      </c>
      <c r="F494" s="10">
        <v>5870.4</v>
      </c>
      <c r="G494" s="10">
        <f t="shared" si="98"/>
        <v>0</v>
      </c>
      <c r="H494" s="10"/>
      <c r="I494" s="10">
        <v>0</v>
      </c>
      <c r="J494" s="10">
        <v>0</v>
      </c>
      <c r="K494" s="10">
        <v>0</v>
      </c>
      <c r="L494" s="186" t="s">
        <v>3</v>
      </c>
      <c r="M494" s="448"/>
    </row>
    <row r="495" spans="1:13" s="38" customFormat="1" ht="24.75" customHeight="1">
      <c r="A495" s="418"/>
      <c r="B495" s="293"/>
      <c r="C495" s="294"/>
      <c r="D495" s="6">
        <v>2019</v>
      </c>
      <c r="E495" s="10">
        <f t="shared" si="97"/>
        <v>6295.7</v>
      </c>
      <c r="F495" s="10">
        <f>5735.3+560.4</f>
        <v>6295.7</v>
      </c>
      <c r="G495" s="10">
        <f t="shared" si="98"/>
        <v>0</v>
      </c>
      <c r="H495" s="10"/>
      <c r="I495" s="10">
        <v>0</v>
      </c>
      <c r="J495" s="10">
        <v>0</v>
      </c>
      <c r="K495" s="10">
        <v>0</v>
      </c>
      <c r="L495" s="186" t="s">
        <v>3</v>
      </c>
      <c r="M495" s="448"/>
    </row>
    <row r="496" spans="1:13" s="38" customFormat="1" ht="24.75" customHeight="1">
      <c r="A496" s="418"/>
      <c r="B496" s="293"/>
      <c r="C496" s="294"/>
      <c r="D496" s="6">
        <v>2020</v>
      </c>
      <c r="E496" s="10">
        <f>F496+G496+J496+K496</f>
        <v>5046.599999999999</v>
      </c>
      <c r="F496" s="10">
        <f>6203.9-1157.3</f>
        <v>5046.599999999999</v>
      </c>
      <c r="G496" s="10">
        <f>H496+I496</f>
        <v>0</v>
      </c>
      <c r="H496" s="10"/>
      <c r="I496" s="10">
        <v>0</v>
      </c>
      <c r="J496" s="10">
        <v>0</v>
      </c>
      <c r="K496" s="10">
        <v>0</v>
      </c>
      <c r="L496" s="186" t="s">
        <v>3</v>
      </c>
      <c r="M496" s="448"/>
    </row>
    <row r="497" spans="1:13" s="38" customFormat="1" ht="24.75" customHeight="1">
      <c r="A497" s="418"/>
      <c r="B497" s="293"/>
      <c r="C497" s="294"/>
      <c r="D497" s="29">
        <v>2021</v>
      </c>
      <c r="E497" s="157">
        <f>F497+G497+J497+K497</f>
        <v>5617.1</v>
      </c>
      <c r="F497" s="157">
        <v>5617.1</v>
      </c>
      <c r="G497" s="157">
        <f>H497+I497</f>
        <v>0</v>
      </c>
      <c r="H497" s="157"/>
      <c r="I497" s="157">
        <v>0</v>
      </c>
      <c r="J497" s="157">
        <v>0</v>
      </c>
      <c r="K497" s="157">
        <v>0</v>
      </c>
      <c r="L497" s="192" t="s">
        <v>3</v>
      </c>
      <c r="M497" s="448"/>
    </row>
    <row r="498" spans="1:13" s="38" customFormat="1" ht="24.75" customHeight="1">
      <c r="A498" s="418"/>
      <c r="B498" s="293"/>
      <c r="C498" s="294"/>
      <c r="D498" s="6">
        <v>2022</v>
      </c>
      <c r="E498" s="10">
        <f t="shared" si="97"/>
        <v>6062.1</v>
      </c>
      <c r="F498" s="10">
        <v>6062.1</v>
      </c>
      <c r="G498" s="10">
        <f t="shared" si="98"/>
        <v>0</v>
      </c>
      <c r="H498" s="10"/>
      <c r="I498" s="10">
        <v>0</v>
      </c>
      <c r="J498" s="10">
        <v>0</v>
      </c>
      <c r="K498" s="10">
        <v>0</v>
      </c>
      <c r="L498" s="186" t="s">
        <v>3</v>
      </c>
      <c r="M498" s="448"/>
    </row>
    <row r="499" spans="1:13" s="38" customFormat="1" ht="29.25" customHeight="1" thickBot="1">
      <c r="A499" s="419"/>
      <c r="B499" s="346"/>
      <c r="C499" s="347"/>
      <c r="D499" s="193">
        <v>2023</v>
      </c>
      <c r="E499" s="561">
        <f>F499+G499+J499+K499</f>
        <v>6062.1</v>
      </c>
      <c r="F499" s="562">
        <v>6062.1</v>
      </c>
      <c r="G499" s="561">
        <f t="shared" si="98"/>
        <v>0</v>
      </c>
      <c r="H499" s="562"/>
      <c r="I499" s="10">
        <v>0</v>
      </c>
      <c r="J499" s="10">
        <v>0</v>
      </c>
      <c r="K499" s="10">
        <v>0</v>
      </c>
      <c r="L499" s="194"/>
      <c r="M499" s="527"/>
    </row>
    <row r="500" spans="1:13" s="38" customFormat="1" ht="30.75" customHeight="1">
      <c r="A500" s="297"/>
      <c r="B500" s="420" t="s">
        <v>33</v>
      </c>
      <c r="C500" s="421"/>
      <c r="D500" s="41">
        <v>2017</v>
      </c>
      <c r="E500" s="158">
        <f t="shared" si="97"/>
        <v>5780.3</v>
      </c>
      <c r="F500" s="158">
        <f aca="true" t="shared" si="99" ref="F500:F505">F479+F486+F493</f>
        <v>5683.5</v>
      </c>
      <c r="G500" s="158">
        <f>H500+I500</f>
        <v>96.8</v>
      </c>
      <c r="H500" s="158">
        <f>H479+H486+H493</f>
        <v>0</v>
      </c>
      <c r="I500" s="158">
        <f>I479+I486+I493</f>
        <v>96.8</v>
      </c>
      <c r="J500" s="158">
        <f>J479+J486+J493</f>
        <v>0</v>
      </c>
      <c r="K500" s="563">
        <f>K479+K486+K493</f>
        <v>0</v>
      </c>
      <c r="L500" s="488"/>
      <c r="M500" s="488"/>
    </row>
    <row r="501" spans="1:13" s="38" customFormat="1" ht="30.75" customHeight="1">
      <c r="A501" s="312"/>
      <c r="B501" s="420"/>
      <c r="C501" s="421"/>
      <c r="D501" s="6">
        <v>2018</v>
      </c>
      <c r="E501" s="22">
        <f>F501+G501+J501+K501</f>
        <v>6230.9</v>
      </c>
      <c r="F501" s="22">
        <f t="shared" si="99"/>
        <v>6103.599999999999</v>
      </c>
      <c r="G501" s="22">
        <f>H501+I501</f>
        <v>127.3</v>
      </c>
      <c r="H501" s="22">
        <f aca="true" t="shared" si="100" ref="H501:I505">H480+H487+H494</f>
        <v>0</v>
      </c>
      <c r="I501" s="22">
        <f t="shared" si="100"/>
        <v>127.3</v>
      </c>
      <c r="J501" s="22">
        <v>0</v>
      </c>
      <c r="K501" s="564">
        <v>0</v>
      </c>
      <c r="L501" s="489"/>
      <c r="M501" s="489"/>
    </row>
    <row r="502" spans="1:13" s="38" customFormat="1" ht="30.75" customHeight="1">
      <c r="A502" s="312"/>
      <c r="B502" s="420"/>
      <c r="C502" s="421"/>
      <c r="D502" s="6">
        <v>2019</v>
      </c>
      <c r="E502" s="22">
        <f>E481+E488+E495</f>
        <v>6710.3</v>
      </c>
      <c r="F502" s="22">
        <f t="shared" si="99"/>
        <v>6577.599999999999</v>
      </c>
      <c r="G502" s="22">
        <f>G481+G488+G495</f>
        <v>132.7</v>
      </c>
      <c r="H502" s="22">
        <f t="shared" si="100"/>
        <v>0</v>
      </c>
      <c r="I502" s="22">
        <f t="shared" si="100"/>
        <v>132.7</v>
      </c>
      <c r="J502" s="22">
        <f aca="true" t="shared" si="101" ref="J502:K505">J481+J488+J495</f>
        <v>0</v>
      </c>
      <c r="K502" s="564">
        <f t="shared" si="101"/>
        <v>0</v>
      </c>
      <c r="L502" s="489"/>
      <c r="M502" s="489"/>
    </row>
    <row r="503" spans="1:13" s="38" customFormat="1" ht="30.75" customHeight="1">
      <c r="A503" s="312"/>
      <c r="B503" s="420"/>
      <c r="C503" s="421"/>
      <c r="D503" s="6">
        <v>2020</v>
      </c>
      <c r="E503" s="22">
        <f>E482+E489+E496</f>
        <v>5397.2</v>
      </c>
      <c r="F503" s="22">
        <f>F482+F489+F496</f>
        <v>5397.2</v>
      </c>
      <c r="G503" s="22">
        <f>G482+G489+G496</f>
        <v>0</v>
      </c>
      <c r="H503" s="22">
        <f t="shared" si="100"/>
        <v>0</v>
      </c>
      <c r="I503" s="22">
        <f t="shared" si="100"/>
        <v>0</v>
      </c>
      <c r="J503" s="22">
        <f t="shared" si="101"/>
        <v>0</v>
      </c>
      <c r="K503" s="564">
        <f t="shared" si="101"/>
        <v>0</v>
      </c>
      <c r="L503" s="489"/>
      <c r="M503" s="489"/>
    </row>
    <row r="504" spans="1:13" s="38" customFormat="1" ht="30.75" customHeight="1" thickBot="1">
      <c r="A504" s="312"/>
      <c r="B504" s="420"/>
      <c r="C504" s="421"/>
      <c r="D504" s="34">
        <v>2021</v>
      </c>
      <c r="E504" s="526">
        <f>E483+E490+E497</f>
        <v>5901.200000000001</v>
      </c>
      <c r="F504" s="526">
        <f t="shared" si="99"/>
        <v>5901.200000000001</v>
      </c>
      <c r="G504" s="526">
        <f>G483+G490+G497</f>
        <v>0</v>
      </c>
      <c r="H504" s="526">
        <f t="shared" si="100"/>
        <v>0</v>
      </c>
      <c r="I504" s="526">
        <f t="shared" si="100"/>
        <v>0</v>
      </c>
      <c r="J504" s="526">
        <f t="shared" si="101"/>
        <v>0</v>
      </c>
      <c r="K504" s="565">
        <f t="shared" si="101"/>
        <v>0</v>
      </c>
      <c r="L504" s="489"/>
      <c r="M504" s="489"/>
    </row>
    <row r="505" spans="1:13" s="38" customFormat="1" ht="30.75" customHeight="1" thickBot="1">
      <c r="A505" s="312"/>
      <c r="B505" s="420"/>
      <c r="C505" s="421"/>
      <c r="D505" s="34">
        <v>2022</v>
      </c>
      <c r="E505" s="526">
        <f>E484+E491+E498</f>
        <v>6346.200000000001</v>
      </c>
      <c r="F505" s="526">
        <f t="shared" si="99"/>
        <v>6346.200000000001</v>
      </c>
      <c r="G505" s="526">
        <f>G484+G491+G498</f>
        <v>0</v>
      </c>
      <c r="H505" s="526">
        <f t="shared" si="100"/>
        <v>0</v>
      </c>
      <c r="I505" s="526">
        <f t="shared" si="100"/>
        <v>0</v>
      </c>
      <c r="J505" s="526">
        <f t="shared" si="101"/>
        <v>0</v>
      </c>
      <c r="K505" s="565">
        <f t="shared" si="101"/>
        <v>0</v>
      </c>
      <c r="L505" s="489"/>
      <c r="M505" s="489"/>
    </row>
    <row r="506" spans="1:13" s="38" customFormat="1" ht="30.75" customHeight="1" thickBot="1">
      <c r="A506" s="312"/>
      <c r="B506" s="422"/>
      <c r="C506" s="422"/>
      <c r="D506" s="79">
        <v>2023</v>
      </c>
      <c r="E506" s="161">
        <f aca="true" t="shared" si="102" ref="E506:K506">E499+E492+E485</f>
        <v>6346.2</v>
      </c>
      <c r="F506" s="161">
        <f t="shared" si="102"/>
        <v>6346.2</v>
      </c>
      <c r="G506" s="161">
        <f t="shared" si="102"/>
        <v>0</v>
      </c>
      <c r="H506" s="161">
        <f t="shared" si="102"/>
        <v>0</v>
      </c>
      <c r="I506" s="161">
        <f t="shared" si="102"/>
        <v>0</v>
      </c>
      <c r="J506" s="161">
        <f t="shared" si="102"/>
        <v>0</v>
      </c>
      <c r="K506" s="566">
        <f t="shared" si="102"/>
        <v>0</v>
      </c>
      <c r="L506" s="490"/>
      <c r="M506" s="490"/>
    </row>
    <row r="507" spans="1:13" s="38" customFormat="1" ht="30.75" customHeight="1" thickBot="1">
      <c r="A507" s="171"/>
      <c r="B507" s="401"/>
      <c r="C507" s="402"/>
      <c r="D507" s="172"/>
      <c r="E507" s="567"/>
      <c r="F507" s="567"/>
      <c r="G507" s="568"/>
      <c r="H507" s="567"/>
      <c r="I507" s="567"/>
      <c r="J507" s="567"/>
      <c r="K507" s="569"/>
      <c r="L507" s="208"/>
      <c r="M507" s="209"/>
    </row>
    <row r="508" spans="1:13" s="38" customFormat="1" ht="49.5" customHeight="1">
      <c r="A508" s="496"/>
      <c r="B508" s="493" t="s">
        <v>27</v>
      </c>
      <c r="C508" s="493"/>
      <c r="D508" s="547" t="s">
        <v>111</v>
      </c>
      <c r="E508" s="174">
        <f>SUM(E509:E527)</f>
        <v>1813734.7243599999</v>
      </c>
      <c r="F508" s="174">
        <f aca="true" t="shared" si="103" ref="F508:K508">SUM(F509:F527)</f>
        <v>1054443.9999999998</v>
      </c>
      <c r="G508" s="174">
        <f t="shared" si="103"/>
        <v>41290.53400000001</v>
      </c>
      <c r="H508" s="174">
        <f t="shared" si="103"/>
        <v>27183.9</v>
      </c>
      <c r="I508" s="174">
        <f t="shared" si="103"/>
        <v>14106.633999999998</v>
      </c>
      <c r="J508" s="174">
        <f>J509+J510+J511+J512+J513+J514+J527</f>
        <v>718000.1903600001</v>
      </c>
      <c r="K508" s="548">
        <f t="shared" si="103"/>
        <v>0</v>
      </c>
      <c r="L508" s="509"/>
      <c r="M508" s="488"/>
    </row>
    <row r="509" spans="1:13" s="38" customFormat="1" ht="33" customHeight="1">
      <c r="A509" s="497"/>
      <c r="B509" s="494"/>
      <c r="C509" s="494"/>
      <c r="D509" s="242">
        <v>2017</v>
      </c>
      <c r="E509" s="15">
        <f>F509+G509+J509+K509</f>
        <v>259771.653</v>
      </c>
      <c r="F509" s="15">
        <f aca="true" t="shared" si="104" ref="F509:K509">F227+F353+F459+F469+F500</f>
        <v>130298.7</v>
      </c>
      <c r="G509" s="15">
        <f t="shared" si="104"/>
        <v>1029</v>
      </c>
      <c r="H509" s="15">
        <f t="shared" si="104"/>
        <v>0</v>
      </c>
      <c r="I509" s="15">
        <f t="shared" si="104"/>
        <v>1029</v>
      </c>
      <c r="J509" s="15">
        <f t="shared" si="104"/>
        <v>128443.953</v>
      </c>
      <c r="K509" s="549">
        <f t="shared" si="104"/>
        <v>0</v>
      </c>
      <c r="L509" s="510"/>
      <c r="M509" s="489"/>
    </row>
    <row r="510" spans="1:13" s="38" customFormat="1" ht="30.75" customHeight="1">
      <c r="A510" s="497"/>
      <c r="B510" s="494"/>
      <c r="C510" s="494"/>
      <c r="D510" s="242">
        <v>2018</v>
      </c>
      <c r="E510" s="15">
        <f>F510+G510+J510+K510</f>
        <v>256780.11129000003</v>
      </c>
      <c r="F510" s="15">
        <f aca="true" t="shared" si="105" ref="F510:H511">F228+F354+F460+F470+F501</f>
        <v>143448.1</v>
      </c>
      <c r="G510" s="15">
        <f t="shared" si="105"/>
        <v>1296.482</v>
      </c>
      <c r="H510" s="15">
        <f t="shared" si="105"/>
        <v>0</v>
      </c>
      <c r="I510" s="15">
        <f>I501+I470+I460+I354+I228</f>
        <v>1296.4820000000002</v>
      </c>
      <c r="J510" s="15">
        <f>J501+J470+J460+J354+J228</f>
        <v>112035.52929000002</v>
      </c>
      <c r="K510" s="549">
        <f>K228+K354+K460+K470+K501</f>
        <v>0</v>
      </c>
      <c r="L510" s="510"/>
      <c r="M510" s="489"/>
    </row>
    <row r="511" spans="1:13" s="38" customFormat="1" ht="30.75" customHeight="1">
      <c r="A511" s="497"/>
      <c r="B511" s="494"/>
      <c r="C511" s="494"/>
      <c r="D511" s="242">
        <v>2019</v>
      </c>
      <c r="E511" s="15">
        <f>E229+E355+E461+E471+E502</f>
        <v>274699.70717</v>
      </c>
      <c r="F511" s="15">
        <f t="shared" si="105"/>
        <v>157111.4</v>
      </c>
      <c r="G511" s="15">
        <f t="shared" si="105"/>
        <v>3375.852</v>
      </c>
      <c r="H511" s="15">
        <f t="shared" si="105"/>
        <v>0</v>
      </c>
      <c r="I511" s="15">
        <f aca="true" t="shared" si="106" ref="I511:J514">I229+I355+I461+I471+I502</f>
        <v>3375.852</v>
      </c>
      <c r="J511" s="15">
        <f t="shared" si="106"/>
        <v>114212.45517000003</v>
      </c>
      <c r="K511" s="549">
        <f>K229+K355+K461+K471+K502</f>
        <v>0</v>
      </c>
      <c r="L511" s="510"/>
      <c r="M511" s="489"/>
    </row>
    <row r="512" spans="1:13" s="38" customFormat="1" ht="30.75" customHeight="1">
      <c r="A512" s="497"/>
      <c r="B512" s="494"/>
      <c r="C512" s="494"/>
      <c r="D512" s="242">
        <v>2020</v>
      </c>
      <c r="E512" s="15">
        <f>E230+E356+E462+E472+E503</f>
        <v>274920.2059</v>
      </c>
      <c r="F512" s="15">
        <f>F230+F356+F462+F472+F503</f>
        <v>156504.2</v>
      </c>
      <c r="G512" s="15">
        <f>G230+G356+G462+G472+G503</f>
        <v>7019.299999999999</v>
      </c>
      <c r="H512" s="15">
        <f>H230+H356+H462+H472+H503</f>
        <v>3073.8</v>
      </c>
      <c r="I512" s="15">
        <f>I230+I356+I462+I472+I503</f>
        <v>3945.5</v>
      </c>
      <c r="J512" s="15">
        <f>J230+J356+J462+J472+J503</f>
        <v>111396.7059</v>
      </c>
      <c r="K512" s="549">
        <f>K230+K356+K462+K472+K503</f>
        <v>0</v>
      </c>
      <c r="L512" s="510"/>
      <c r="M512" s="489"/>
    </row>
    <row r="513" spans="1:13" s="38" customFormat="1" ht="30.75" customHeight="1">
      <c r="A513" s="497"/>
      <c r="B513" s="494"/>
      <c r="C513" s="494"/>
      <c r="D513" s="242">
        <v>2021</v>
      </c>
      <c r="E513" s="15">
        <f>F513+G513+J513+K513</f>
        <v>259009.281</v>
      </c>
      <c r="F513" s="15">
        <f>F231+F357+F463+F473+F504</f>
        <v>156128.2</v>
      </c>
      <c r="G513" s="15">
        <f>H513+I513</f>
        <v>13400.300000000001</v>
      </c>
      <c r="H513" s="15">
        <f>H231+H357+H463+H473+H504</f>
        <v>11791.1</v>
      </c>
      <c r="I513" s="15">
        <f t="shared" si="106"/>
        <v>1609.2</v>
      </c>
      <c r="J513" s="15">
        <f t="shared" si="106"/>
        <v>89480.78099999999</v>
      </c>
      <c r="K513" s="549">
        <f>K231+K357+K463+K473+K504</f>
        <v>0</v>
      </c>
      <c r="L513" s="510"/>
      <c r="M513" s="489"/>
    </row>
    <row r="514" spans="1:13" s="38" customFormat="1" ht="27" customHeight="1" thickBot="1">
      <c r="A514" s="497"/>
      <c r="B514" s="494"/>
      <c r="C514" s="494"/>
      <c r="D514" s="550">
        <v>2022</v>
      </c>
      <c r="E514" s="86">
        <f>F514+G514+J514+K514</f>
        <v>244492.18299999996</v>
      </c>
      <c r="F514" s="86">
        <f>F232+F358+F464+F474+F505</f>
        <v>155442</v>
      </c>
      <c r="G514" s="86">
        <f>H514+I514</f>
        <v>7834.8</v>
      </c>
      <c r="H514" s="86">
        <f>H232+H358+H464+H474+H505</f>
        <v>6382</v>
      </c>
      <c r="I514" s="86">
        <f t="shared" si="106"/>
        <v>1452.8</v>
      </c>
      <c r="J514" s="86">
        <f t="shared" si="106"/>
        <v>81215.38299999999</v>
      </c>
      <c r="K514" s="551">
        <f>K232+K358+K464+K474+K505</f>
        <v>0</v>
      </c>
      <c r="L514" s="510"/>
      <c r="M514" s="489"/>
    </row>
    <row r="515" spans="1:13" ht="25.5" customHeight="1" hidden="1">
      <c r="A515" s="497"/>
      <c r="B515" s="494"/>
      <c r="C515" s="494"/>
      <c r="D515" s="552"/>
      <c r="E515" s="190"/>
      <c r="F515" s="553"/>
      <c r="G515" s="553"/>
      <c r="H515" s="554"/>
      <c r="I515" s="191"/>
      <c r="J515" s="86">
        <f aca="true" t="shared" si="107" ref="J515:J526">J233+J359+J465+J475+J506</f>
        <v>81215.383</v>
      </c>
      <c r="K515" s="554"/>
      <c r="L515" s="510"/>
      <c r="M515" s="489"/>
    </row>
    <row r="516" spans="1:13" ht="25.5" customHeight="1" hidden="1">
      <c r="A516" s="497"/>
      <c r="B516" s="494"/>
      <c r="C516" s="494"/>
      <c r="D516" s="552"/>
      <c r="E516" s="190"/>
      <c r="F516" s="555"/>
      <c r="G516" s="555"/>
      <c r="H516" s="191"/>
      <c r="I516" s="556"/>
      <c r="J516" s="86">
        <f t="shared" si="107"/>
        <v>0</v>
      </c>
      <c r="K516" s="191"/>
      <c r="L516" s="510"/>
      <c r="M516" s="489"/>
    </row>
    <row r="517" spans="1:13" ht="15.75" customHeight="1" hidden="1">
      <c r="A517" s="497"/>
      <c r="B517" s="494"/>
      <c r="C517" s="494"/>
      <c r="D517" s="552"/>
      <c r="E517" s="190"/>
      <c r="F517" s="555"/>
      <c r="G517" s="555"/>
      <c r="H517" s="191"/>
      <c r="I517" s="191"/>
      <c r="J517" s="86">
        <f t="shared" si="107"/>
        <v>718000.1903600001</v>
      </c>
      <c r="K517" s="191"/>
      <c r="L517" s="510"/>
      <c r="M517" s="489"/>
    </row>
    <row r="518" spans="1:13" ht="24.75" customHeight="1" hidden="1">
      <c r="A518" s="497"/>
      <c r="B518" s="494"/>
      <c r="C518" s="494"/>
      <c r="D518" s="552"/>
      <c r="E518" s="190"/>
      <c r="F518" s="555"/>
      <c r="G518" s="555"/>
      <c r="H518" s="191"/>
      <c r="I518" s="557"/>
      <c r="J518" s="86">
        <f t="shared" si="107"/>
        <v>128443.953</v>
      </c>
      <c r="K518" s="191"/>
      <c r="L518" s="510"/>
      <c r="M518" s="489"/>
    </row>
    <row r="519" spans="1:13" ht="13.5" customHeight="1" hidden="1">
      <c r="A519" s="497"/>
      <c r="B519" s="494"/>
      <c r="C519" s="494"/>
      <c r="D519" s="552"/>
      <c r="E519" s="190"/>
      <c r="F519" s="555"/>
      <c r="G519" s="555"/>
      <c r="H519" s="191"/>
      <c r="I519" s="191"/>
      <c r="J519" s="86">
        <f t="shared" si="107"/>
        <v>194534.05629000004</v>
      </c>
      <c r="K519" s="191"/>
      <c r="L519" s="510"/>
      <c r="M519" s="489"/>
    </row>
    <row r="520" spans="1:13" ht="27.75" customHeight="1" hidden="1">
      <c r="A520" s="497"/>
      <c r="B520" s="494"/>
      <c r="C520" s="494"/>
      <c r="D520" s="552"/>
      <c r="E520" s="190"/>
      <c r="F520" s="555"/>
      <c r="G520" s="555"/>
      <c r="H520" s="191"/>
      <c r="I520" s="191"/>
      <c r="J520" s="86">
        <f t="shared" si="107"/>
        <v>148066.61367000002</v>
      </c>
      <c r="K520" s="191"/>
      <c r="L520" s="510"/>
      <c r="M520" s="489"/>
    </row>
    <row r="521" spans="1:13" ht="18.75" customHeight="1" hidden="1">
      <c r="A521" s="497"/>
      <c r="B521" s="494"/>
      <c r="C521" s="494"/>
      <c r="D521" s="552"/>
      <c r="E521" s="190"/>
      <c r="F521" s="555"/>
      <c r="G521" s="555"/>
      <c r="H521" s="191"/>
      <c r="I521" s="191"/>
      <c r="J521" s="86">
        <f t="shared" si="107"/>
        <v>151132.50723</v>
      </c>
      <c r="K521" s="191"/>
      <c r="L521" s="510"/>
      <c r="M521" s="489"/>
    </row>
    <row r="522" spans="1:13" ht="18.75" customHeight="1" hidden="1">
      <c r="A522" s="497"/>
      <c r="B522" s="494"/>
      <c r="C522" s="494"/>
      <c r="D522" s="552"/>
      <c r="E522" s="190"/>
      <c r="F522" s="555"/>
      <c r="G522" s="555"/>
      <c r="H522" s="191"/>
      <c r="I522" s="191"/>
      <c r="J522" s="86">
        <f t="shared" si="107"/>
        <v>140289.724</v>
      </c>
      <c r="K522" s="191"/>
      <c r="L522" s="510"/>
      <c r="M522" s="489"/>
    </row>
    <row r="523" spans="1:13" ht="27" customHeight="1" hidden="1">
      <c r="A523" s="497"/>
      <c r="B523" s="494"/>
      <c r="C523" s="494"/>
      <c r="D523" s="552"/>
      <c r="E523" s="190"/>
      <c r="F523" s="555"/>
      <c r="G523" s="555"/>
      <c r="H523" s="191"/>
      <c r="I523" s="191"/>
      <c r="J523" s="86">
        <f t="shared" si="107"/>
        <v>91997.16711999998</v>
      </c>
      <c r="K523" s="191"/>
      <c r="L523" s="510"/>
      <c r="M523" s="489"/>
    </row>
    <row r="524" spans="1:13" ht="22.5" customHeight="1" hidden="1">
      <c r="A524" s="497"/>
      <c r="B524" s="494"/>
      <c r="C524" s="494"/>
      <c r="D524" s="552"/>
      <c r="E524" s="190"/>
      <c r="F524" s="558"/>
      <c r="G524" s="558"/>
      <c r="H524" s="191"/>
      <c r="I524" s="191"/>
      <c r="J524" s="86">
        <f t="shared" si="107"/>
        <v>99882.04018000001</v>
      </c>
      <c r="K524" s="191"/>
      <c r="L524" s="510"/>
      <c r="M524" s="489"/>
    </row>
    <row r="525" spans="1:13" ht="18" customHeight="1" hidden="1">
      <c r="A525" s="497"/>
      <c r="B525" s="494"/>
      <c r="C525" s="494"/>
      <c r="D525" s="559"/>
      <c r="E525" s="190"/>
      <c r="F525" s="191"/>
      <c r="G525" s="191"/>
      <c r="H525" s="191"/>
      <c r="I525" s="191"/>
      <c r="J525" s="86">
        <f t="shared" si="107"/>
        <v>30551.757119999995</v>
      </c>
      <c r="K525" s="191"/>
      <c r="L525" s="510"/>
      <c r="M525" s="489"/>
    </row>
    <row r="526" spans="1:13" ht="22.5" customHeight="1" hidden="1">
      <c r="A526" s="497"/>
      <c r="B526" s="494"/>
      <c r="C526" s="494"/>
      <c r="D526" s="191"/>
      <c r="E526" s="190"/>
      <c r="F526" s="191"/>
      <c r="G526" s="191"/>
      <c r="H526" s="191"/>
      <c r="I526" s="191"/>
      <c r="J526" s="86">
        <f t="shared" si="107"/>
        <v>729863.4753600002</v>
      </c>
      <c r="K526" s="191"/>
      <c r="L526" s="510"/>
      <c r="M526" s="489"/>
    </row>
    <row r="527" spans="1:13" ht="27" customHeight="1" thickBot="1">
      <c r="A527" s="498"/>
      <c r="B527" s="495"/>
      <c r="C527" s="495"/>
      <c r="D527" s="560">
        <v>2023</v>
      </c>
      <c r="E527" s="86">
        <f aca="true" t="shared" si="108" ref="E527:K527">E506+E475+E465+E359+E233</f>
        <v>244061.58299999998</v>
      </c>
      <c r="F527" s="86">
        <f t="shared" si="108"/>
        <v>155511.4</v>
      </c>
      <c r="G527" s="86">
        <f t="shared" si="108"/>
        <v>7334.8</v>
      </c>
      <c r="H527" s="86">
        <f t="shared" si="108"/>
        <v>5937</v>
      </c>
      <c r="I527" s="86">
        <f t="shared" si="108"/>
        <v>1397.8</v>
      </c>
      <c r="J527" s="86">
        <f t="shared" si="108"/>
        <v>81215.383</v>
      </c>
      <c r="K527" s="551">
        <f t="shared" si="108"/>
        <v>0</v>
      </c>
      <c r="L527" s="511"/>
      <c r="M527" s="490"/>
    </row>
    <row r="528" spans="2:9" ht="21" customHeight="1">
      <c r="B528" s="39"/>
      <c r="C528" s="103"/>
      <c r="E528" s="106"/>
      <c r="F528" s="107"/>
      <c r="G528" s="107"/>
      <c r="I528" s="108"/>
    </row>
    <row r="529" spans="2:9" ht="21" customHeight="1">
      <c r="B529" s="39"/>
      <c r="C529" s="103"/>
      <c r="D529" s="104"/>
      <c r="E529" s="106"/>
      <c r="F529" s="109"/>
      <c r="G529" s="109"/>
      <c r="I529" s="110"/>
    </row>
    <row r="530" spans="1:13" s="38" customFormat="1" ht="21" customHeight="1">
      <c r="A530" s="43"/>
      <c r="B530" s="39" t="s">
        <v>295</v>
      </c>
      <c r="C530" s="103"/>
      <c r="D530" s="111"/>
      <c r="E530" s="104" t="s">
        <v>300</v>
      </c>
      <c r="F530" s="112"/>
      <c r="G530" s="112"/>
      <c r="L530" s="45"/>
      <c r="M530" s="44"/>
    </row>
    <row r="531" spans="1:13" s="38" customFormat="1" ht="18.75" customHeight="1">
      <c r="A531" s="43"/>
      <c r="B531" s="39"/>
      <c r="C531" s="105"/>
      <c r="L531" s="45"/>
      <c r="M531" s="44"/>
    </row>
    <row r="532" spans="1:13" s="38" customFormat="1" ht="22.5" customHeight="1">
      <c r="A532" s="43"/>
      <c r="D532" s="113"/>
      <c r="L532" s="45"/>
      <c r="M532" s="44"/>
    </row>
    <row r="533" spans="1:13" s="38" customFormat="1" ht="18">
      <c r="A533" s="43"/>
      <c r="B533" s="45"/>
      <c r="L533" s="45"/>
      <c r="M533" s="44"/>
    </row>
  </sheetData>
  <sheetProtection/>
  <mergeCells count="235">
    <mergeCell ref="M447:M458"/>
    <mergeCell ref="B99:C106"/>
    <mergeCell ref="A99:A106"/>
    <mergeCell ref="M434:M446"/>
    <mergeCell ref="B351:C351"/>
    <mergeCell ref="A353:A359"/>
    <mergeCell ref="B349:C349"/>
    <mergeCell ref="B350:C350"/>
    <mergeCell ref="D422:D433"/>
    <mergeCell ref="A360:M360"/>
    <mergeCell ref="A459:A465"/>
    <mergeCell ref="L500:L506"/>
    <mergeCell ref="M500:M506"/>
    <mergeCell ref="M508:M527"/>
    <mergeCell ref="L508:L527"/>
    <mergeCell ref="M493:M499"/>
    <mergeCell ref="M486:M492"/>
    <mergeCell ref="A467:L467"/>
    <mergeCell ref="B508:C527"/>
    <mergeCell ref="A508:A527"/>
    <mergeCell ref="D198:D204"/>
    <mergeCell ref="E198:E204"/>
    <mergeCell ref="B227:C233"/>
    <mergeCell ref="A227:A233"/>
    <mergeCell ref="A486:A492"/>
    <mergeCell ref="B447:C458"/>
    <mergeCell ref="A447:A458"/>
    <mergeCell ref="B374:C446"/>
    <mergeCell ref="A374:A446"/>
    <mergeCell ref="A479:A485"/>
    <mergeCell ref="B459:C465"/>
    <mergeCell ref="B469:C475"/>
    <mergeCell ref="A469:A475"/>
    <mergeCell ref="A468:M468"/>
    <mergeCell ref="L459:L465"/>
    <mergeCell ref="M459:M465"/>
    <mergeCell ref="A466:M466"/>
    <mergeCell ref="A107:A111"/>
    <mergeCell ref="B112:C165"/>
    <mergeCell ref="B107:C111"/>
    <mergeCell ref="D159:D165"/>
    <mergeCell ref="M479:M485"/>
    <mergeCell ref="M469:M475"/>
    <mergeCell ref="B353:C359"/>
    <mergeCell ref="B271:B280"/>
    <mergeCell ref="A347:A350"/>
    <mergeCell ref="B348:C348"/>
    <mergeCell ref="D382:D387"/>
    <mergeCell ref="D388:D397"/>
    <mergeCell ref="D398:D407"/>
    <mergeCell ref="A362:K362"/>
    <mergeCell ref="A57:A63"/>
    <mergeCell ref="E160:E165"/>
    <mergeCell ref="E152:E158"/>
    <mergeCell ref="E143:E150"/>
    <mergeCell ref="D151:D158"/>
    <mergeCell ref="B92:C98"/>
    <mergeCell ref="B486:C492"/>
    <mergeCell ref="B493:C499"/>
    <mergeCell ref="A493:A499"/>
    <mergeCell ref="B500:C506"/>
    <mergeCell ref="A500:A506"/>
    <mergeCell ref="A361:M361"/>
    <mergeCell ref="A363:A372"/>
    <mergeCell ref="B363:C372"/>
    <mergeCell ref="M363:M433"/>
    <mergeCell ref="D374:D381"/>
    <mergeCell ref="B330:C332"/>
    <mergeCell ref="A333:A336"/>
    <mergeCell ref="B333:B336"/>
    <mergeCell ref="A337:A342"/>
    <mergeCell ref="B337:B342"/>
    <mergeCell ref="B507:C507"/>
    <mergeCell ref="A476:M476"/>
    <mergeCell ref="A477:M477"/>
    <mergeCell ref="A478:M478"/>
    <mergeCell ref="B479:C485"/>
    <mergeCell ref="B347:C347"/>
    <mergeCell ref="A319:A320"/>
    <mergeCell ref="M319:M320"/>
    <mergeCell ref="M322:M323"/>
    <mergeCell ref="A323:A325"/>
    <mergeCell ref="B327:C327"/>
    <mergeCell ref="B328:C328"/>
    <mergeCell ref="M328:M329"/>
    <mergeCell ref="B329:C329"/>
    <mergeCell ref="A330:A332"/>
    <mergeCell ref="L294:L295"/>
    <mergeCell ref="A297:A313"/>
    <mergeCell ref="B297:B313"/>
    <mergeCell ref="M297:M304"/>
    <mergeCell ref="M305:M313"/>
    <mergeCell ref="B314:B318"/>
    <mergeCell ref="A314:A318"/>
    <mergeCell ref="B290:B291"/>
    <mergeCell ref="D290:D291"/>
    <mergeCell ref="A292:A293"/>
    <mergeCell ref="B292:B293"/>
    <mergeCell ref="D292:D293"/>
    <mergeCell ref="A294:A296"/>
    <mergeCell ref="B294:B296"/>
    <mergeCell ref="D294:D296"/>
    <mergeCell ref="A236:M236"/>
    <mergeCell ref="A237:M237"/>
    <mergeCell ref="A238:A289"/>
    <mergeCell ref="B238:B270"/>
    <mergeCell ref="M238:M296"/>
    <mergeCell ref="L241:L246"/>
    <mergeCell ref="B281:B282"/>
    <mergeCell ref="B283:B284"/>
    <mergeCell ref="B286:B289"/>
    <mergeCell ref="A290:A291"/>
    <mergeCell ref="A234:M234"/>
    <mergeCell ref="M227:M233"/>
    <mergeCell ref="A235:M235"/>
    <mergeCell ref="B218:C226"/>
    <mergeCell ref="A218:A226"/>
    <mergeCell ref="M219:M226"/>
    <mergeCell ref="D135:D142"/>
    <mergeCell ref="B213:C213"/>
    <mergeCell ref="B214:C214"/>
    <mergeCell ref="B215:C215"/>
    <mergeCell ref="B216:C216"/>
    <mergeCell ref="B217:C217"/>
    <mergeCell ref="E127:E134"/>
    <mergeCell ref="M205:M210"/>
    <mergeCell ref="B212:C212"/>
    <mergeCell ref="B166:C204"/>
    <mergeCell ref="A166:A204"/>
    <mergeCell ref="B205:C211"/>
    <mergeCell ref="D166:D172"/>
    <mergeCell ref="E181:E188"/>
    <mergeCell ref="A205:A211"/>
    <mergeCell ref="M112:M188"/>
    <mergeCell ref="I99:I100"/>
    <mergeCell ref="J99:J100"/>
    <mergeCell ref="G99:G100"/>
    <mergeCell ref="H99:H100"/>
    <mergeCell ref="E112:E118"/>
    <mergeCell ref="D189:D196"/>
    <mergeCell ref="E189:E196"/>
    <mergeCell ref="E173:E180"/>
    <mergeCell ref="D181:D188"/>
    <mergeCell ref="D173:D180"/>
    <mergeCell ref="D99:D100"/>
    <mergeCell ref="E99:E100"/>
    <mergeCell ref="F99:F100"/>
    <mergeCell ref="E135:E142"/>
    <mergeCell ref="D143:D150"/>
    <mergeCell ref="E166:E172"/>
    <mergeCell ref="D112:D118"/>
    <mergeCell ref="D119:D126"/>
    <mergeCell ref="E119:E126"/>
    <mergeCell ref="D127:D134"/>
    <mergeCell ref="K85:K86"/>
    <mergeCell ref="K99:K100"/>
    <mergeCell ref="L99:L100"/>
    <mergeCell ref="M99:M105"/>
    <mergeCell ref="M107:M111"/>
    <mergeCell ref="L85:L86"/>
    <mergeCell ref="M92:M97"/>
    <mergeCell ref="B57:C63"/>
    <mergeCell ref="M78:M83"/>
    <mergeCell ref="M84:M87"/>
    <mergeCell ref="D85:D86"/>
    <mergeCell ref="E85:E86"/>
    <mergeCell ref="F85:F86"/>
    <mergeCell ref="G85:G86"/>
    <mergeCell ref="H85:H86"/>
    <mergeCell ref="I85:I86"/>
    <mergeCell ref="J85:J86"/>
    <mergeCell ref="B64:C70"/>
    <mergeCell ref="A64:A70"/>
    <mergeCell ref="A92:A98"/>
    <mergeCell ref="A78:A83"/>
    <mergeCell ref="B78:C83"/>
    <mergeCell ref="B73:C77"/>
    <mergeCell ref="A73:A77"/>
    <mergeCell ref="B84:C91"/>
    <mergeCell ref="A84:A91"/>
    <mergeCell ref="M64:M69"/>
    <mergeCell ref="K50:K51"/>
    <mergeCell ref="L50:L51"/>
    <mergeCell ref="A71:A72"/>
    <mergeCell ref="B71:C72"/>
    <mergeCell ref="G50:G51"/>
    <mergeCell ref="H50:H51"/>
    <mergeCell ref="I50:I51"/>
    <mergeCell ref="J50:J51"/>
    <mergeCell ref="A50:A56"/>
    <mergeCell ref="B45:B48"/>
    <mergeCell ref="D50:D51"/>
    <mergeCell ref="E50:E51"/>
    <mergeCell ref="F50:F51"/>
    <mergeCell ref="M50:M55"/>
    <mergeCell ref="B50:C56"/>
    <mergeCell ref="B23:B24"/>
    <mergeCell ref="A43:A44"/>
    <mergeCell ref="B43:B44"/>
    <mergeCell ref="A33:A35"/>
    <mergeCell ref="B33:B35"/>
    <mergeCell ref="M33:M42"/>
    <mergeCell ref="M30:M31"/>
    <mergeCell ref="A25:A28"/>
    <mergeCell ref="M25:M28"/>
    <mergeCell ref="J1:M1"/>
    <mergeCell ref="J2:M2"/>
    <mergeCell ref="B15:B22"/>
    <mergeCell ref="B25:B29"/>
    <mergeCell ref="B30:B32"/>
    <mergeCell ref="A14:M14"/>
    <mergeCell ref="F6:F9"/>
    <mergeCell ref="G6:J6"/>
    <mergeCell ref="G8:G9"/>
    <mergeCell ref="A15:A20"/>
    <mergeCell ref="F5:J5"/>
    <mergeCell ref="K5:K9"/>
    <mergeCell ref="A11:M11"/>
    <mergeCell ref="A112:A165"/>
    <mergeCell ref="G7:I7"/>
    <mergeCell ref="J7:J9"/>
    <mergeCell ref="L5:L9"/>
    <mergeCell ref="A30:A32"/>
    <mergeCell ref="M15:M24"/>
    <mergeCell ref="A23:A24"/>
    <mergeCell ref="B3:L3"/>
    <mergeCell ref="A5:A9"/>
    <mergeCell ref="B5:C9"/>
    <mergeCell ref="H8:I8"/>
    <mergeCell ref="A12:M12"/>
    <mergeCell ref="A13:M13"/>
    <mergeCell ref="B10:C10"/>
    <mergeCell ref="D5:D9"/>
    <mergeCell ref="M5:M9"/>
    <mergeCell ref="E5:E9"/>
  </mergeCells>
  <printOptions/>
  <pageMargins left="0.1968503937007874" right="0.1968503937007874" top="0.3937007874015748" bottom="0.1968503937007874" header="0" footer="0"/>
  <pageSetup fitToHeight="25" horizontalDpi="600" verticalDpi="600" orientation="landscape" paperSize="9" scale="47" r:id="rId3"/>
  <rowBreaks count="11" manualBreakCount="11">
    <brk id="111" max="255" man="1"/>
    <brk id="150" max="255" man="1"/>
    <brk id="188" max="255" man="1"/>
    <brk id="233" max="12" man="1"/>
    <brk id="267" max="12" man="1"/>
    <brk id="304" max="12" man="1"/>
    <brk id="329" max="255" man="1"/>
    <brk id="359" max="255" man="1"/>
    <brk id="424" max="255" man="1"/>
    <brk id="458" max="255" man="1"/>
    <brk id="4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2020-12-21T08:48:31Z</cp:lastPrinted>
  <dcterms:created xsi:type="dcterms:W3CDTF">2010-09-22T11:49:59Z</dcterms:created>
  <dcterms:modified xsi:type="dcterms:W3CDTF">2020-12-21T08:54:35Z</dcterms:modified>
  <cp:category/>
  <cp:version/>
  <cp:contentType/>
  <cp:contentStatus/>
</cp:coreProperties>
</file>