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ресурсное обеспечение" sheetId="1" r:id="rId1"/>
    <sheet name="под. культура" sheetId="2" r:id="rId2"/>
    <sheet name="подпр Физ и спорт" sheetId="3" r:id="rId3"/>
    <sheet name="подпр Прав культ" sheetId="4" r:id="rId4"/>
  </sheets>
  <definedNames>
    <definedName name="_xlnm.Print_Area" localSheetId="1">'под. культура'!$A$2:$M$527</definedName>
  </definedNames>
  <calcPr fullCalcOnLoad="1"/>
</workbook>
</file>

<file path=xl/sharedStrings.xml><?xml version="1.0" encoding="utf-8"?>
<sst xmlns="http://schemas.openxmlformats.org/spreadsheetml/2006/main" count="499" uniqueCount="332">
  <si>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</si>
  <si>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</si>
  <si>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</si>
  <si>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</si>
  <si>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</si>
  <si>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</si>
  <si>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Собственные доходы</t>
  </si>
  <si>
    <t>Вне-бюджетные средства</t>
  </si>
  <si>
    <t xml:space="preserve">Другие собственные доходы </t>
  </si>
  <si>
    <t>1.</t>
  </si>
  <si>
    <t>МКУ «Комитет по культуре и спорту» ЗАТО г.Радужный Владимирской области</t>
  </si>
  <si>
    <t>ИТОГО по Программе</t>
  </si>
  <si>
    <t>1.1.</t>
  </si>
  <si>
    <t>Итого по Подпрограмме</t>
  </si>
  <si>
    <t>1.2.</t>
  </si>
  <si>
    <t>Итого по подпрограмме</t>
  </si>
  <si>
    <t>1.3.</t>
  </si>
  <si>
    <t>3. Ресурсное обеспечение муниципальной 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</si>
  <si>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</si>
  <si>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</si>
  <si>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</si>
  <si>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</si>
  <si>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</si>
  <si>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</si>
  <si>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</si>
  <si>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</si>
  <si>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Комплектование книжного фонда</t>
  </si>
  <si>
    <t>МБУК «Общедоступная библиотека ЗАТО г.Радужный»</t>
  </si>
  <si>
    <t>Улучшение библиотечного обслуживания</t>
  </si>
  <si>
    <t>Внедрение информационных технологий в процесс библиотечного обслуживания:</t>
  </si>
  <si>
    <t>- создание электронного каталога библиотечных фондов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</si>
  <si>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</si>
  <si>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</si>
  <si>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</si>
  <si>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</si>
  <si>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</si>
  <si>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</si>
  <si>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</si>
  <si>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</si>
  <si>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</si>
  <si>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</si>
  <si>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</si>
  <si>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</si>
  <si>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</si>
  <si>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</si>
  <si>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</si>
  <si>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</si>
  <si>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</si>
  <si>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4.</t>
  </si>
  <si>
    <t>Ремонты учреждений</t>
  </si>
  <si>
    <t>МКУ ГКМХ</t>
  </si>
  <si>
    <t>МБУК МСДЦ</t>
  </si>
  <si>
    <t>МБОУДОД ДЮСШ</t>
  </si>
  <si>
    <t>5.</t>
  </si>
  <si>
    <t>МКУ «Комитет по культуре и спорту» ЗАТО г.Радужный:</t>
  </si>
  <si>
    <t>МБУК К/Ц Досуг</t>
  </si>
  <si>
    <t>МБУК ЦДМ</t>
  </si>
  <si>
    <t>МБУК ПКиО</t>
  </si>
  <si>
    <t>МБУК  «Общедоступная библиотека»</t>
  </si>
  <si>
    <t>ВСЕГО ПО ПОДПРОГРАММЕ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</si>
  <si>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</si>
  <si>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</si>
  <si>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</si>
  <si>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</si>
  <si>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4.1.</t>
  </si>
  <si>
    <t xml:space="preserve">МКУ «Комитет по культуре и спорту»                                       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</si>
  <si>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</si>
  <si>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4.2.</t>
  </si>
  <si>
    <t>Исполнители - ответственные за реализацию мероприятия</t>
  </si>
  <si>
    <t>Ожидаемые результаты (количественные и качественные)</t>
  </si>
  <si>
    <t>I. Организационно-методическое обеспечение</t>
  </si>
  <si>
    <t>- управление образования</t>
  </si>
  <si>
    <t>4.3.</t>
  </si>
  <si>
    <t>4.4.</t>
  </si>
  <si>
    <t>МБУК "Общедоступная библиотека"</t>
  </si>
  <si>
    <t>ИТОГО:</t>
  </si>
  <si>
    <t>Объем финансирования (тыс.руб)</t>
  </si>
  <si>
    <t xml:space="preserve">В том числе: </t>
  </si>
  <si>
    <t>Объем финансирования (тыс. руб.)</t>
  </si>
  <si>
    <t>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</si>
  <si>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</si>
  <si>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Собственные  доходы:</t>
  </si>
  <si>
    <t>Исполнители, соисполнители, ответственные за реализацию мероприятия</t>
  </si>
  <si>
    <t>организация и проведение круглогодичной спартакиады школьников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</si>
  <si>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</si>
  <si>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</si>
  <si>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</si>
  <si>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</si>
  <si>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спортивно- мас-совых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</si>
  <si>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</si>
  <si>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</si>
  <si>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</si>
  <si>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</si>
  <si>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</si>
  <si>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ВСЕГО  ПО ПОДПРОГРАММЕ</t>
  </si>
  <si>
    <t>I. Организация досуга населения</t>
  </si>
  <si>
    <t>II. Укрепление материальной базы</t>
  </si>
  <si>
    <t>IY. Выполнение муниципальных заданий:</t>
  </si>
  <si>
    <t>V. Социальная поддержка населения</t>
  </si>
  <si>
    <t>5.1.</t>
  </si>
  <si>
    <t xml:space="preserve">                           1. Массовый  спорт </t>
  </si>
  <si>
    <t>1.4.</t>
  </si>
  <si>
    <t>1.5.</t>
  </si>
  <si>
    <t>1.6.</t>
  </si>
  <si>
    <t>1.7.</t>
  </si>
  <si>
    <t>1.8.</t>
  </si>
  <si>
    <t>1.9.</t>
  </si>
  <si>
    <t>1.10.</t>
  </si>
  <si>
    <t>2.3.</t>
  </si>
  <si>
    <t>2.4.</t>
  </si>
  <si>
    <t>2.5.</t>
  </si>
  <si>
    <t>4.5.</t>
  </si>
  <si>
    <t>4.6.</t>
  </si>
  <si>
    <t>4.7.</t>
  </si>
  <si>
    <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</si>
  <si>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</si>
  <si>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</si>
  <si>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2.</t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</si>
  <si>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</si>
  <si>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</si>
  <si>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</si>
  <si>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</si>
  <si>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</si>
  <si>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</si>
  <si>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</si>
  <si>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</si>
  <si>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</si>
  <si>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3.2.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</si>
  <si>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</si>
  <si>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</si>
  <si>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</si>
  <si>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</si>
  <si>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</si>
  <si>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</si>
  <si>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</si>
  <si>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</si>
  <si>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</si>
  <si>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</si>
  <si>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</si>
  <si>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</si>
  <si>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</si>
  <si>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Развитие и модернизация центра правовой информации на базе МБУК "Общедоступная библиотека"</t>
  </si>
  <si>
    <t>Наименование программы</t>
  </si>
  <si>
    <t>Исполнители, соисполнители, ответственные за реализацию программы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</si>
  <si>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</si>
  <si>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Организация библиотечного обслуживания.Поддержка молодых дарований, самодеятельного творчества.</t>
  </si>
  <si>
    <t>МКУ ККиС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</si>
  <si>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</si>
  <si>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</si>
  <si>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Задачи</t>
  </si>
  <si>
    <t>Цели</t>
  </si>
  <si>
    <t>Осуществление системы мер социальной поддержки работников культуры.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</si>
  <si>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</si>
  <si>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МБУДО ДШИ</t>
  </si>
  <si>
    <t>Муниципальная Программа «Культура и спорт ЗАТО г.Радужный Владимирской области»</t>
  </si>
  <si>
    <t>Муниципальная подпрограмма «Культура ЗАТО г.Радужный Владимирской области»</t>
  </si>
  <si>
    <t>Муниципальная подпрограмма «Повышение правовой культуры населения ЗАТО г. Радужный Владимирской области»</t>
  </si>
  <si>
    <t>Перечень мероприятий муниципальной подпрограммы "Повышение правовой культуры населения ЗАТО г.Радужный Владимирской области"</t>
  </si>
  <si>
    <t>1.11</t>
  </si>
  <si>
    <t>1.12</t>
  </si>
  <si>
    <t>Проведение мероприятий по празднованию Дня города</t>
  </si>
  <si>
    <t>Муниципальная подпрограмма «Развитие физической культуры и спорта в ЗАТО г.Радужный»</t>
  </si>
  <si>
    <t>Патриотическое воспитание, подготовка и празднование юбилея города</t>
  </si>
  <si>
    <t>МБУК ОБ</t>
  </si>
  <si>
    <t>МБУК  КЦ Досуг</t>
  </si>
  <si>
    <t xml:space="preserve"> МБУК «Общедоступная библиотека ЗАТО г.Радужный</t>
  </si>
  <si>
    <t>Уборка снега механизированным способом в Парке, экспертная проверка сметной документации</t>
  </si>
  <si>
    <t>МБУ ДО "ДШИ"</t>
  </si>
  <si>
    <t>Итого по мероприятию</t>
  </si>
  <si>
    <t>Перечень мероприятий муниципальной подпрограммы "Культура ЗАТО г.Радужный Владимирской области"</t>
  </si>
  <si>
    <t>Обследование несущих конструкций МБОУДОД ДЮСШ(с бассейном и спортзалом)и МБОУДОД ДЮСШ "Кристалл"</t>
  </si>
  <si>
    <t>МБОУДОД  ДЮСШ</t>
  </si>
  <si>
    <t xml:space="preserve">МКУ «Комитет по культуре и спорту»   </t>
  </si>
  <si>
    <t>МБУК "ПКиО"</t>
  </si>
  <si>
    <t>1.13</t>
  </si>
  <si>
    <t>Пробретение подаков в честь юбилеев МБУК К/Ц "Досуг" (40 лет) и МБУК "ПКиО"(35 лет)</t>
  </si>
  <si>
    <t>МКУ  ГКМХ</t>
  </si>
  <si>
    <t>2.6.</t>
  </si>
  <si>
    <t>2.7.</t>
  </si>
  <si>
    <t>2.8.</t>
  </si>
  <si>
    <t>2.9.</t>
  </si>
  <si>
    <t>2.10.</t>
  </si>
  <si>
    <t>4.8.</t>
  </si>
  <si>
    <t>Ремонт кровли в МБУК "ЦДМ".   Ремонт трубопровода холодного водоснабжения.   Устройство видеонаблюдения и оборудование системой контроля в МБУК КЦ "Досуг"</t>
  </si>
  <si>
    <t>Ремонт помещений по исключению последствий протечек и дефектов, возникших в ходе эксплуатации в МБУК "МСДЦ".   Ремонт эл/освещения, замена  светильников</t>
  </si>
  <si>
    <t>Благоустройство территории вокруг "Кристалла", около стеллы ( с дроблением порубочных сотатков).</t>
  </si>
  <si>
    <t>Ремонт аудиторий в МБОУ ДО "ДШИ".  Ремонт кровли ДШИ (частичный у 2-х ливневок).  Ремонт помещений цоколя и отмостки здания МБУ ДО ДШИ.</t>
  </si>
  <si>
    <t>Ремонт ограждения танцевальной площадки. Ремонт покрытия сцены, окраска и ремонт пергол в МБУК "ПКиО". Установка урн на территории. Устройство системы видеонаблюдения в парке.</t>
  </si>
  <si>
    <t>Установка экрана уличного светодиодного 3840х8000мм.; установка видионаблюдения на площади у МБУК " МСДЦ" 1 квартал.</t>
  </si>
  <si>
    <t>Оборудование места массового пребывания людей ограждением 2 класса защиты(установка ограждений  в учреждении МБУ ДО "ДШИ")</t>
  </si>
  <si>
    <t>Цели и задачи</t>
  </si>
  <si>
    <t>Создание условий для развитие физичекской культуры и спорта. Учучшение качества занятий проводимых уроков физкультуры среди школьнокив</t>
  </si>
  <si>
    <t>III. Выполнение управленческих функций, обеспечение стабильной работы подведомственных учреждений:</t>
  </si>
  <si>
    <t xml:space="preserve">Цели и задачи </t>
  </si>
  <si>
    <t>Координация деятельности учреждений культуры. Организация досуга населения, библиотечного обслуживания. Предоставление дополнительного образования в сфере культуры и спорта.</t>
  </si>
  <si>
    <t>Проектные работы по реконструкции нежилых помещений №33-46 в здании общежития №2(корпус 3-центральное крыло) по адресу до 6 9 квартал г. Радужный Владимирской области</t>
  </si>
  <si>
    <t>1.14</t>
  </si>
  <si>
    <t>На приобретение краски дорожной АК-511(белая) 30кг.</t>
  </si>
  <si>
    <t>ГКМХ</t>
  </si>
  <si>
    <t>Проектные работы (типовой проект "многофункциональная игровая площадка S800 м2 с детским спортивно-оздоровительным комплексрм")</t>
  </si>
  <si>
    <t>2.11.</t>
  </si>
  <si>
    <r>
      <rPr>
        <b/>
        <sz val="11"/>
        <color indexed="8"/>
        <rFont val="Times New Roman"/>
        <family val="1"/>
      </rPr>
      <t>итого по мероприятию</t>
    </r>
    <r>
      <rPr>
        <b/>
        <sz val="10"/>
        <color indexed="8"/>
        <rFont val="Times New Roman"/>
        <family val="1"/>
      </rPr>
      <t xml:space="preserve"> №1</t>
    </r>
  </si>
  <si>
    <t>итого по мероприятию №2</t>
  </si>
  <si>
    <t>Всего</t>
  </si>
  <si>
    <t>в том числе</t>
  </si>
  <si>
    <t>из федерального бюджета</t>
  </si>
  <si>
    <t xml:space="preserve">из облостного бюджета </t>
  </si>
  <si>
    <t>из областного бюджета</t>
  </si>
  <si>
    <t>Субсидии, иные межбюджетные трансверты</t>
  </si>
  <si>
    <t xml:space="preserve">Всего </t>
  </si>
  <si>
    <t>Из федерального бюджете</t>
  </si>
  <si>
    <t>из  облостного бюджета</t>
  </si>
  <si>
    <t>Субсии, иные межбюджетные трансферты</t>
  </si>
  <si>
    <t>Субвен-ции</t>
  </si>
  <si>
    <t>2.12.</t>
  </si>
  <si>
    <t>2.13.</t>
  </si>
  <si>
    <t>Ремонт в учреждение МБУК "ЦДМ" ( в киноаппаратной и туалетов)</t>
  </si>
  <si>
    <t>2.14.</t>
  </si>
  <si>
    <t>2.15.</t>
  </si>
  <si>
    <t>2.16.</t>
  </si>
  <si>
    <t>2.17.</t>
  </si>
  <si>
    <t>2.18.</t>
  </si>
  <si>
    <t>2.19.</t>
  </si>
  <si>
    <t>Приобритение основных средств (баяна для хора, кондиционеры)</t>
  </si>
  <si>
    <t>Текуший ремонт пола зрительного зала и сцены МБУК ЦДМ.</t>
  </si>
  <si>
    <t>Замена линолиума в здании МБУДО ДШИ, текуший ремонт ступеней и тамбура главного входа в МБУДО ДШИ.</t>
  </si>
  <si>
    <t>Текущий ремонт душевой кабинки и тренажерного зала в Кристале. Текущий ремонт лыжной базы.</t>
  </si>
  <si>
    <t>Замена входных и внутрених дверей, ремонт оконных рам в здании МБУК К/Ц Досуг</t>
  </si>
  <si>
    <t>ЦДМ</t>
  </si>
  <si>
    <t>2.20.</t>
  </si>
  <si>
    <t>Приобритение поддсветки для стерений кинозала. Изготовление (приобретение) новогодних уличных украшений.</t>
  </si>
  <si>
    <t>Выпонение мунципалных заданиий на 1 квартал 2018 года и 1 квартал 2019 года</t>
  </si>
  <si>
    <t>Строительство обьекта "многофункциональной игровой площадки площадью 800 м2 с детским спортивно-оздоровительным комплексом</t>
  </si>
  <si>
    <t>2.21.</t>
  </si>
  <si>
    <t>2.22.</t>
  </si>
  <si>
    <t>2.23.</t>
  </si>
  <si>
    <t>2.24.</t>
  </si>
  <si>
    <t>2.25.</t>
  </si>
  <si>
    <t>Благоустройство территории парка  (освещение парковой зоны 3 этап),техничекий план на вновь построенные сети уличного освещения в городском парке (для ввода в эксплатацию)</t>
  </si>
  <si>
    <t>2.26.</t>
  </si>
  <si>
    <t>2.27.</t>
  </si>
  <si>
    <t>Благоустройство спортивных площадок, расположенных за с/к "Кристалл" с заменой ограждения теннисных кортов</t>
  </si>
  <si>
    <t>Разработка проектной документации на проведение ремонта фасада с/к "Кристалл"   ( в соотвествии с проведенным обследованием) и проведение ремонтных работ(замена бетонных архитектурных элементов)</t>
  </si>
  <si>
    <t>Текущий ремонт генератора МБУК ЦДМ</t>
  </si>
  <si>
    <t>МКУ "ГКМХ"</t>
  </si>
  <si>
    <t>Перечень мероприятий муниципальной подпрограммы «Развитие физической культуры и спорта в ЗАТО г.Радужный»</t>
  </si>
  <si>
    <t>2.28.</t>
  </si>
  <si>
    <t>2.30.</t>
  </si>
  <si>
    <t>МБУК "ЦДМ"</t>
  </si>
  <si>
    <t>Разработка проектно документации на ремонт фасада МБУК "Досуг"</t>
  </si>
  <si>
    <t>Ремонт помищение "Зеро" (замена пластиковых стеновых панелей на путях эвакуации на негорючие материалы)</t>
  </si>
  <si>
    <t>Текущий ремонт системы отопления в МБУДО "ДШИ"</t>
  </si>
  <si>
    <t>МБУК Досуг</t>
  </si>
  <si>
    <t>2.29.</t>
  </si>
  <si>
    <t>Переоборудование санузлов для маломобильной категории граждан в МБУК "МСДЦ"</t>
  </si>
  <si>
    <t>МБУ ДО "ДЮСШ"</t>
  </si>
  <si>
    <t xml:space="preserve">Усторойство навеса в аппараной, замена дверных блоков  и текущий ремонт коридора в клубе  "Зеро", </t>
  </si>
  <si>
    <t>Изготовление скульптурного бюста, посвященного Косьминову И.С.</t>
  </si>
  <si>
    <t>МБУК "Досуг"</t>
  </si>
  <si>
    <t>Приобритение основных средств (стелажей) в МБУК "Библиотеки"</t>
  </si>
  <si>
    <t xml:space="preserve">Установка системы пожарной сигнализации в клубе «Зеро» </t>
  </si>
  <si>
    <t>МБУК "Библиотека"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</si>
  <si>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</si>
  <si>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</si>
  <si>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</si>
  <si>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</si>
  <si>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</si>
  <si>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</si>
  <si>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</si>
  <si>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</si>
  <si>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</si>
  <si>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</si>
  <si>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</si>
  <si>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обеспечение широкого доступа населения к информационно-справочным системам(запчасти для оргтехники)</t>
  </si>
  <si>
    <t>Модернезация аттракционнов (замена запчасте и установка забора) МБУК "ПКиО"</t>
  </si>
  <si>
    <t>Оснащение зданий по требованиям пожарной безопастности в бюджетных учрежениях</t>
  </si>
  <si>
    <t>Приобритение основных средств (приобретение звуковой и видео аппаратуры.)</t>
  </si>
  <si>
    <t>Приобретение материальных запасов( резиновый уплотнители) для теплообменников в здании МБУК "МСДЦ"</t>
  </si>
  <si>
    <t xml:space="preserve"> Выполнение муниципального задания в МБУДО ДШИ</t>
  </si>
  <si>
    <t>Выполнение муниципального задания в МБОУДОД ДЮСШ</t>
  </si>
  <si>
    <t>Выполнение муниципального задания в МБУК К/Ц Досуг</t>
  </si>
  <si>
    <t>Выполнение муниципального задания в МБУК ЦДМ</t>
  </si>
  <si>
    <t>Выполнение муниципального задания в МБУК ПКиО</t>
  </si>
  <si>
    <t>Выполнение муниципального задания в МБУК  «Общедоступная библиотека»</t>
  </si>
  <si>
    <t>Выполнение муниципального задания в МБУК МСДЦ</t>
  </si>
  <si>
    <t>Ремонт кровли в здании  МБУК КЦ "Досуг"</t>
  </si>
  <si>
    <t>Замена оконных блоков в здании  МБУДО "ДШИ"</t>
  </si>
  <si>
    <t>Эксплатация светодиодного экрана  у здания МБУК "МСДЦ"</t>
  </si>
  <si>
    <t>Приобритение основных средств (светодиодные прожекторы) для МБУК "ПКиО".</t>
  </si>
  <si>
    <t xml:space="preserve">Обследование подвесного потолка в СК «Кристалл», обследование раздевалок в здании ФОК, частичный ремонт плитки в бассейне  в учреждении МБОУ ДО "ДЮСШ"
</t>
  </si>
  <si>
    <t>Приобритениие металлические  средства разделения потока зрителей в здании МБОУ ДО "ДЮСШ"</t>
  </si>
  <si>
    <t>Дополнительные работы по мини-футбольному полю( установка бортовойго каменя)в учреждении МБОУ ДО "ДЮСШ"</t>
  </si>
  <si>
    <t>Приобритение основных средств (светодиодные светильникии и кондиционер).в учреждении МБУК "Библиотека"</t>
  </si>
  <si>
    <t>2017-2022</t>
  </si>
  <si>
    <t>2017-2022г.г.</t>
  </si>
  <si>
    <t>Установка кондиционеров в киноаппаратной и зрительном зале в МБУК "ЦДМ"</t>
  </si>
  <si>
    <t>2017-2022 годы</t>
  </si>
  <si>
    <t>2017-2022годы</t>
  </si>
  <si>
    <t>2.42.</t>
  </si>
  <si>
    <t>2.43.</t>
  </si>
  <si>
    <t xml:space="preserve">Текущий ремонт летней эстрады в 1 квартале  около первой школы </t>
  </si>
  <si>
    <t>Текущий ремонт кровли в учреждении  МБОУ ДО "ДЮСШ" (в зданиях греко-римской борьбе и бассейне)</t>
  </si>
  <si>
    <t>На приобритение спортивного оборудования и инвентаря для приведения МБОУ ДО "ДЮСШ" в нормативное состояние.(в рамках регионального проекта "спорт-норма жизни", Национального проекта " Демография")</t>
  </si>
  <si>
    <t>Создание условий для сохранения  культурного потенциала муниципального  об-разования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</si>
  <si>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населения, создание  благоприятных условий для занятия физической  культурой и спортом в городе, как основного  решения оздоров-ления и важнейших социальных задач  для всех слоев населения путём,создание условий для организации досуга и обеспечение жителей услугами организаций культуры</t>
  </si>
  <si>
    <t>субсидии на финансовое обеспечение выполнения муниципального задания на оказание муниципальных услуг</t>
  </si>
  <si>
    <t>Реализация  регионального проекта «Спорт-норма жизни», федерального проекта  «Демография»</t>
  </si>
  <si>
    <t xml:space="preserve">создание условий для массовых занятий физической культурой и спортом </t>
  </si>
  <si>
    <t>«Культура и спорт ЗАТО г.Радужный Владимирской области»</t>
  </si>
  <si>
    <t xml:space="preserve">Приложение </t>
  </si>
  <si>
    <t xml:space="preserve">Приложение  </t>
  </si>
  <si>
    <t>«Культура ЗАТО г.Радужный Владимирской области»</t>
  </si>
  <si>
    <t xml:space="preserve"> к муниципальной подпрограмме </t>
  </si>
  <si>
    <t xml:space="preserve"> к муниципальной программе </t>
  </si>
  <si>
    <t>«Развитие физической культуры и спорта в ЗАТО г.Радужный»</t>
  </si>
  <si>
    <t xml:space="preserve">к муниципальной подпрограмме </t>
  </si>
  <si>
    <t xml:space="preserve"> к муниципальной подпрограмме</t>
  </si>
  <si>
    <t xml:space="preserve">«Повышение правовой культуры населения </t>
  </si>
  <si>
    <t>ЗАТО г. Радужный Владимирской области»</t>
  </si>
  <si>
    <t>На приобретение электрогирлянды и елочные украшение для украшение для украшение елки на территории городского парка</t>
  </si>
  <si>
    <t>На текущий ремонт парапета( ограждения) на крыще МБУК Досуг</t>
  </si>
  <si>
    <t>Текущий ремонт откосов и стен в помещение клуба "Зеро"</t>
  </si>
  <si>
    <t>Текущий ремонт помещений в здание МБУДО ДШИ</t>
  </si>
  <si>
    <t>2.44.</t>
  </si>
  <si>
    <t>2.45.</t>
  </si>
  <si>
    <t>2.46.</t>
  </si>
  <si>
    <t>Межбюджетные трансферты на создание виртуальных концертных залов</t>
  </si>
  <si>
    <t>2.47.</t>
  </si>
  <si>
    <t>1.15.</t>
  </si>
  <si>
    <t>На реализацию программ спортивной подготовки в соответствии  требованиями федеральных стандартов (в рамках регионального проекта "спорт-норма жизни", Национального проекта " Демография")</t>
  </si>
  <si>
    <t>На приобретение спортивного оборудования и инвентаря для приведения муниципальных учреждений спортивной подготовки в нормотивное состояни (в рамках регионального проекта "спорт-норма жизни", Национального проекта " Демография")</t>
  </si>
  <si>
    <t>,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</si>
</sst>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"/>
    <numFmt numFmtId="178" formatCode="0.000"/>
    <numFmt numFmtId="179" formatCode="#,##0.00000"/>
    <numFmt numFmtId="180" formatCode="0.0000"/>
    <numFmt numFmtId="181" formatCode="000000"/>
    <numFmt numFmtId="182" formatCode="[$-FC19]d\ mmmm\ yyyy\ &quot;г.&quot;"/>
    <numFmt numFmtId="183" formatCode="#,##0.000"/>
    <numFmt numFmtId="184" formatCode="0.000000"/>
    <numFmt numFmtId="185" formatCode="#,##0.0000"/>
    <numFmt numFmtId="186" formatCode="0.0000000"/>
    <numFmt numFmtId="187" formatCode="#,##0.000\ _₽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30"/>
      <name val="Times New Roman"/>
      <family val="1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sz val="10"/>
      <color rgb="FF0070C0"/>
      <name val="Times New Roman"/>
      <family val="1"/>
    </font>
    <font>
      <sz val="10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177" fontId="0" fillId="0" borderId="0" xfId="0" applyNumberFormat="1" applyAlignment="1">
      <alignment/>
    </xf>
    <xf numFmtId="0" fontId="58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9" fillId="0" borderId="0" xfId="0" applyFont="1" applyAlignment="1">
      <alignment/>
    </xf>
    <xf numFmtId="177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left"/>
    </xf>
    <xf numFmtId="2" fontId="5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176" fontId="0" fillId="0" borderId="0" xfId="0" applyNumberFormat="1" applyAlignment="1">
      <alignment/>
    </xf>
    <xf numFmtId="0" fontId="59" fillId="0" borderId="0" xfId="0" applyFont="1" applyAlignment="1">
      <alignment horizontal="right"/>
    </xf>
    <xf numFmtId="0" fontId="56" fillId="0" borderId="11" xfId="0" applyFont="1" applyBorder="1" applyAlignment="1">
      <alignment vertical="top" wrapText="1"/>
    </xf>
    <xf numFmtId="0" fontId="59" fillId="0" borderId="0" xfId="0" applyFont="1" applyAlignment="1">
      <alignment horizontal="right"/>
    </xf>
    <xf numFmtId="0" fontId="56" fillId="0" borderId="12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1" fillId="0" borderId="0" xfId="0" applyFont="1" applyAlignment="1">
      <alignment/>
    </xf>
    <xf numFmtId="177" fontId="61" fillId="0" borderId="0" xfId="0" applyNumberFormat="1" applyFont="1" applyAlignment="1">
      <alignment/>
    </xf>
    <xf numFmtId="2" fontId="61" fillId="0" borderId="0" xfId="0" applyNumberFormat="1" applyFont="1" applyAlignment="1">
      <alignment/>
    </xf>
    <xf numFmtId="0" fontId="61" fillId="0" borderId="0" xfId="0" applyFont="1" applyAlignment="1">
      <alignment vertical="top"/>
    </xf>
    <xf numFmtId="0" fontId="60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top" wrapText="1"/>
    </xf>
    <xf numFmtId="0" fontId="58" fillId="0" borderId="0" xfId="0" applyFont="1" applyBorder="1" applyAlignment="1">
      <alignment vertical="top" wrapText="1"/>
    </xf>
    <xf numFmtId="0" fontId="61" fillId="0" borderId="14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vertical="top" wrapText="1"/>
    </xf>
    <xf numFmtId="0" fontId="58" fillId="0" borderId="12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178" fontId="62" fillId="0" borderId="12" xfId="0" applyNumberFormat="1" applyFont="1" applyFill="1" applyBorder="1" applyAlignment="1">
      <alignment vertical="top" wrapText="1"/>
    </xf>
    <xf numFmtId="178" fontId="63" fillId="0" borderId="12" xfId="0" applyNumberFormat="1" applyFont="1" applyFill="1" applyBorder="1" applyAlignment="1">
      <alignment vertical="top" wrapText="1"/>
    </xf>
    <xf numFmtId="178" fontId="62" fillId="0" borderId="12" xfId="0" applyNumberFormat="1" applyFont="1" applyFill="1" applyBorder="1" applyAlignment="1">
      <alignment horizontal="center" wrapText="1"/>
    </xf>
    <xf numFmtId="178" fontId="62" fillId="0" borderId="12" xfId="0" applyNumberFormat="1" applyFont="1" applyFill="1" applyBorder="1" applyAlignment="1">
      <alignment wrapText="1"/>
    </xf>
    <xf numFmtId="178" fontId="63" fillId="0" borderId="12" xfId="0" applyNumberFormat="1" applyFont="1" applyFill="1" applyBorder="1" applyAlignment="1">
      <alignment wrapText="1"/>
    </xf>
    <xf numFmtId="178" fontId="58" fillId="0" borderId="12" xfId="0" applyNumberFormat="1" applyFont="1" applyFill="1" applyBorder="1" applyAlignment="1">
      <alignment horizontal="center" vertical="top" wrapText="1"/>
    </xf>
    <xf numFmtId="178" fontId="58" fillId="0" borderId="12" xfId="0" applyNumberFormat="1" applyFont="1" applyFill="1" applyBorder="1" applyAlignment="1">
      <alignment vertical="top" wrapText="1"/>
    </xf>
    <xf numFmtId="0" fontId="58" fillId="0" borderId="12" xfId="0" applyFont="1" applyFill="1" applyBorder="1" applyAlignment="1">
      <alignment horizontal="justify" vertical="top" wrapText="1"/>
    </xf>
    <xf numFmtId="178" fontId="64" fillId="0" borderId="12" xfId="0" applyNumberFormat="1" applyFont="1" applyFill="1" applyBorder="1" applyAlignment="1">
      <alignment horizontal="center" vertical="top" wrapText="1"/>
    </xf>
    <xf numFmtId="178" fontId="64" fillId="0" borderId="12" xfId="0" applyNumberFormat="1" applyFont="1" applyFill="1" applyBorder="1" applyAlignment="1">
      <alignment vertical="top" wrapText="1"/>
    </xf>
    <xf numFmtId="0" fontId="64" fillId="0" borderId="12" xfId="0" applyFont="1" applyFill="1" applyBorder="1" applyAlignment="1">
      <alignment horizontal="justify" vertical="top" wrapText="1"/>
    </xf>
    <xf numFmtId="178" fontId="62" fillId="0" borderId="12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/>
    </xf>
    <xf numFmtId="178" fontId="58" fillId="0" borderId="12" xfId="0" applyNumberFormat="1" applyFont="1" applyFill="1" applyBorder="1" applyAlignment="1">
      <alignment horizontal="center" wrapText="1"/>
    </xf>
    <xf numFmtId="178" fontId="58" fillId="0" borderId="12" xfId="0" applyNumberFormat="1" applyFont="1" applyFill="1" applyBorder="1" applyAlignment="1">
      <alignment wrapText="1"/>
    </xf>
    <xf numFmtId="0" fontId="46" fillId="0" borderId="12" xfId="0" applyFont="1" applyFill="1" applyBorder="1" applyAlignment="1">
      <alignment horizontal="center" vertical="center"/>
    </xf>
    <xf numFmtId="178" fontId="46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vertical="top" wrapText="1"/>
    </xf>
    <xf numFmtId="178" fontId="60" fillId="0" borderId="12" xfId="0" applyNumberFormat="1" applyFont="1" applyFill="1" applyBorder="1" applyAlignment="1">
      <alignment horizontal="center" vertical="center" wrapText="1"/>
    </xf>
    <xf numFmtId="178" fontId="61" fillId="0" borderId="12" xfId="0" applyNumberFormat="1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center" vertical="top" wrapText="1"/>
    </xf>
    <xf numFmtId="178" fontId="61" fillId="0" borderId="12" xfId="0" applyNumberFormat="1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178" fontId="60" fillId="0" borderId="17" xfId="0" applyNumberFormat="1" applyFont="1" applyFill="1" applyBorder="1" applyAlignment="1">
      <alignment horizontal="center" vertical="top" wrapText="1"/>
    </xf>
    <xf numFmtId="178" fontId="66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vertical="top" wrapText="1"/>
    </xf>
    <xf numFmtId="184" fontId="56" fillId="0" borderId="12" xfId="0" applyNumberFormat="1" applyFont="1" applyFill="1" applyBorder="1" applyAlignment="1">
      <alignment horizontal="center" wrapText="1"/>
    </xf>
    <xf numFmtId="184" fontId="63" fillId="0" borderId="12" xfId="0" applyNumberFormat="1" applyFont="1" applyFill="1" applyBorder="1" applyAlignment="1">
      <alignment vertical="top" wrapText="1"/>
    </xf>
    <xf numFmtId="184" fontId="56" fillId="0" borderId="12" xfId="0" applyNumberFormat="1" applyFont="1" applyFill="1" applyBorder="1" applyAlignment="1">
      <alignment horizontal="center"/>
    </xf>
    <xf numFmtId="184" fontId="67" fillId="0" borderId="12" xfId="0" applyNumberFormat="1" applyFont="1" applyFill="1" applyBorder="1" applyAlignment="1">
      <alignment vertical="top" wrapText="1"/>
    </xf>
    <xf numFmtId="184" fontId="56" fillId="0" borderId="12" xfId="0" applyNumberFormat="1" applyFont="1" applyFill="1" applyBorder="1" applyAlignment="1">
      <alignment horizontal="left" vertical="top" wrapText="1" indent="1"/>
    </xf>
    <xf numFmtId="184" fontId="63" fillId="0" borderId="12" xfId="0" applyNumberFormat="1" applyFont="1" applyFill="1" applyBorder="1" applyAlignment="1">
      <alignment horizontal="center" wrapText="1"/>
    </xf>
    <xf numFmtId="184" fontId="63" fillId="0" borderId="12" xfId="0" applyNumberFormat="1" applyFont="1" applyFill="1" applyBorder="1" applyAlignment="1">
      <alignment horizontal="center" vertical="center" wrapText="1"/>
    </xf>
    <xf numFmtId="184" fontId="68" fillId="0" borderId="12" xfId="0" applyNumberFormat="1" applyFont="1" applyFill="1" applyBorder="1" applyAlignment="1">
      <alignment vertical="top" wrapText="1"/>
    </xf>
    <xf numFmtId="184" fontId="62" fillId="0" borderId="12" xfId="0" applyNumberFormat="1" applyFont="1" applyFill="1" applyBorder="1" applyAlignment="1">
      <alignment horizontal="left" vertical="top" wrapText="1"/>
    </xf>
    <xf numFmtId="184" fontId="62" fillId="0" borderId="12" xfId="0" applyNumberFormat="1" applyFont="1" applyFill="1" applyBorder="1" applyAlignment="1">
      <alignment horizontal="left" vertical="top" wrapText="1" indent="1"/>
    </xf>
    <xf numFmtId="184" fontId="62" fillId="0" borderId="12" xfId="0" applyNumberFormat="1" applyFont="1" applyFill="1" applyBorder="1" applyAlignment="1">
      <alignment horizontal="center" vertical="center" wrapText="1"/>
    </xf>
    <xf numFmtId="184" fontId="62" fillId="0" borderId="12" xfId="0" applyNumberFormat="1" applyFont="1" applyFill="1" applyBorder="1" applyAlignment="1">
      <alignment vertical="top" wrapText="1"/>
    </xf>
    <xf numFmtId="184" fontId="68" fillId="0" borderId="12" xfId="0" applyNumberFormat="1" applyFont="1" applyFill="1" applyBorder="1" applyAlignment="1">
      <alignment wrapText="1"/>
    </xf>
    <xf numFmtId="184" fontId="68" fillId="0" borderId="12" xfId="0" applyNumberFormat="1" applyFont="1" applyFill="1" applyBorder="1" applyAlignment="1">
      <alignment vertical="center"/>
    </xf>
    <xf numFmtId="184" fontId="68" fillId="0" borderId="12" xfId="0" applyNumberFormat="1" applyFont="1" applyFill="1" applyBorder="1" applyAlignment="1">
      <alignment horizontal="center" vertical="center" wrapText="1"/>
    </xf>
    <xf numFmtId="184" fontId="0" fillId="0" borderId="12" xfId="0" applyNumberFormat="1" applyFill="1" applyBorder="1" applyAlignment="1">
      <alignment horizontal="center" vertical="center"/>
    </xf>
    <xf numFmtId="184" fontId="0" fillId="0" borderId="12" xfId="0" applyNumberFormat="1" applyFont="1" applyFill="1" applyBorder="1" applyAlignment="1">
      <alignment horizontal="center" vertical="center"/>
    </xf>
    <xf numFmtId="184" fontId="68" fillId="0" borderId="12" xfId="0" applyNumberFormat="1" applyFont="1" applyFill="1" applyBorder="1" applyAlignment="1">
      <alignment horizontal="center" vertical="center"/>
    </xf>
    <xf numFmtId="184" fontId="69" fillId="0" borderId="12" xfId="0" applyNumberFormat="1" applyFont="1" applyFill="1" applyBorder="1" applyAlignment="1">
      <alignment vertical="top" wrapText="1"/>
    </xf>
    <xf numFmtId="184" fontId="69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ont="1" applyFill="1" applyBorder="1" applyAlignment="1">
      <alignment vertical="top"/>
    </xf>
    <xf numFmtId="184" fontId="0" fillId="0" borderId="12" xfId="0" applyNumberFormat="1" applyFill="1" applyBorder="1" applyAlignment="1">
      <alignment vertical="top"/>
    </xf>
    <xf numFmtId="184" fontId="0" fillId="0" borderId="12" xfId="0" applyNumberFormat="1" applyFill="1" applyBorder="1" applyAlignment="1">
      <alignment wrapText="1"/>
    </xf>
    <xf numFmtId="184" fontId="68" fillId="0" borderId="12" xfId="0" applyNumberFormat="1" applyFont="1" applyFill="1" applyBorder="1" applyAlignment="1">
      <alignment/>
    </xf>
    <xf numFmtId="184" fontId="68" fillId="0" borderId="12" xfId="0" applyNumberFormat="1" applyFont="1" applyFill="1" applyBorder="1" applyAlignment="1">
      <alignment horizontal="center" vertical="top" wrapText="1"/>
    </xf>
    <xf numFmtId="184" fontId="0" fillId="0" borderId="12" xfId="0" applyNumberFormat="1" applyFill="1" applyBorder="1" applyAlignment="1">
      <alignment/>
    </xf>
    <xf numFmtId="1" fontId="56" fillId="0" borderId="12" xfId="0" applyNumberFormat="1" applyFont="1" applyFill="1" applyBorder="1" applyAlignment="1">
      <alignment horizontal="center" wrapText="1"/>
    </xf>
    <xf numFmtId="1" fontId="70" fillId="0" borderId="12" xfId="0" applyNumberFormat="1" applyFont="1" applyFill="1" applyBorder="1" applyAlignment="1">
      <alignment horizontal="center" vertical="top" wrapText="1"/>
    </xf>
    <xf numFmtId="1" fontId="58" fillId="0" borderId="12" xfId="0" applyNumberFormat="1" applyFont="1" applyFill="1" applyBorder="1" applyAlignment="1">
      <alignment horizontal="center" vertical="top" wrapText="1"/>
    </xf>
    <xf numFmtId="1" fontId="62" fillId="0" borderId="12" xfId="0" applyNumberFormat="1" applyFont="1" applyFill="1" applyBorder="1" applyAlignment="1">
      <alignment horizontal="center" vertical="top" wrapText="1"/>
    </xf>
    <xf numFmtId="1" fontId="62" fillId="0" borderId="12" xfId="0" applyNumberFormat="1" applyFont="1" applyFill="1" applyBorder="1" applyAlignment="1">
      <alignment horizontal="center" vertical="center" wrapText="1"/>
    </xf>
    <xf numFmtId="1" fontId="58" fillId="0" borderId="12" xfId="0" applyNumberFormat="1" applyFont="1" applyFill="1" applyBorder="1" applyAlignment="1">
      <alignment horizontal="center" wrapText="1"/>
    </xf>
    <xf numFmtId="1" fontId="62" fillId="0" borderId="12" xfId="0" applyNumberFormat="1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/>
    </xf>
    <xf numFmtId="1" fontId="69" fillId="0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wrapText="1"/>
    </xf>
    <xf numFmtId="184" fontId="5" fillId="0" borderId="12" xfId="0" applyNumberFormat="1" applyFont="1" applyFill="1" applyBorder="1" applyAlignment="1">
      <alignment vertical="top" wrapText="1"/>
    </xf>
    <xf numFmtId="184" fontId="0" fillId="0" borderId="12" xfId="0" applyNumberFormat="1" applyFill="1" applyBorder="1" applyAlignment="1">
      <alignment horizontal="center" wrapText="1"/>
    </xf>
    <xf numFmtId="184" fontId="61" fillId="0" borderId="12" xfId="0" applyNumberFormat="1" applyFont="1" applyFill="1" applyBorder="1" applyAlignment="1">
      <alignment vertical="top" wrapText="1"/>
    </xf>
    <xf numFmtId="0" fontId="62" fillId="0" borderId="14" xfId="0" applyFont="1" applyFill="1" applyBorder="1" applyAlignment="1">
      <alignment horizontal="center" vertical="center" wrapText="1"/>
    </xf>
    <xf numFmtId="178" fontId="63" fillId="0" borderId="12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184" fontId="61" fillId="0" borderId="10" xfId="0" applyNumberFormat="1" applyFont="1" applyFill="1" applyBorder="1" applyAlignment="1">
      <alignment horizontal="center" vertical="top" wrapText="1"/>
    </xf>
    <xf numFmtId="184" fontId="7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/>
    </xf>
    <xf numFmtId="177" fontId="59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2" fontId="62" fillId="0" borderId="12" xfId="0" applyNumberFormat="1" applyFont="1" applyFill="1" applyBorder="1" applyAlignment="1">
      <alignment horizontal="center" vertical="top" wrapText="1"/>
    </xf>
    <xf numFmtId="0" fontId="62" fillId="0" borderId="12" xfId="0" applyNumberFormat="1" applyFont="1" applyFill="1" applyBorder="1" applyAlignment="1">
      <alignment horizontal="center" vertical="top" wrapText="1"/>
    </xf>
    <xf numFmtId="184" fontId="32" fillId="0" borderId="12" xfId="0" applyNumberFormat="1" applyFont="1" applyFill="1" applyBorder="1" applyAlignment="1">
      <alignment vertical="top" wrapText="1"/>
    </xf>
    <xf numFmtId="184" fontId="63" fillId="0" borderId="12" xfId="0" applyNumberFormat="1" applyFont="1" applyFill="1" applyBorder="1" applyAlignment="1">
      <alignment vertical="center" wrapText="1"/>
    </xf>
    <xf numFmtId="184" fontId="72" fillId="0" borderId="12" xfId="0" applyNumberFormat="1" applyFont="1" applyFill="1" applyBorder="1" applyAlignment="1">
      <alignment vertical="top" wrapText="1"/>
    </xf>
    <xf numFmtId="184" fontId="62" fillId="0" borderId="12" xfId="0" applyNumberFormat="1" applyFont="1" applyFill="1" applyBorder="1" applyAlignment="1">
      <alignment wrapText="1"/>
    </xf>
    <xf numFmtId="178" fontId="0" fillId="0" borderId="0" xfId="0" applyNumberFormat="1" applyFill="1" applyAlignment="1">
      <alignment/>
    </xf>
    <xf numFmtId="184" fontId="70" fillId="0" borderId="12" xfId="0" applyNumberFormat="1" applyFont="1" applyFill="1" applyBorder="1" applyAlignment="1">
      <alignment horizontal="center" vertical="top" wrapText="1"/>
    </xf>
    <xf numFmtId="184" fontId="58" fillId="0" borderId="12" xfId="0" applyNumberFormat="1" applyFont="1" applyFill="1" applyBorder="1" applyAlignment="1">
      <alignment vertical="top" wrapText="1"/>
    </xf>
    <xf numFmtId="184" fontId="58" fillId="0" borderId="12" xfId="0" applyNumberFormat="1" applyFont="1" applyFill="1" applyBorder="1" applyAlignment="1">
      <alignment horizontal="center" wrapText="1"/>
    </xf>
    <xf numFmtId="0" fontId="60" fillId="0" borderId="18" xfId="0" applyFont="1" applyFill="1" applyBorder="1" applyAlignment="1">
      <alignment horizontal="center" vertical="top" wrapText="1"/>
    </xf>
    <xf numFmtId="0" fontId="60" fillId="0" borderId="19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center" vertical="top" wrapText="1"/>
    </xf>
    <xf numFmtId="178" fontId="0" fillId="0" borderId="0" xfId="0" applyNumberFormat="1" applyAlignment="1">
      <alignment horizontal="center"/>
    </xf>
    <xf numFmtId="0" fontId="46" fillId="0" borderId="0" xfId="0" applyFont="1" applyAlignment="1">
      <alignment/>
    </xf>
    <xf numFmtId="0" fontId="59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62" fillId="0" borderId="12" xfId="0" applyFont="1" applyFill="1" applyBorder="1" applyAlignment="1">
      <alignment vertical="center" wrapText="1"/>
    </xf>
    <xf numFmtId="0" fontId="59" fillId="0" borderId="0" xfId="0" applyFont="1" applyAlignment="1">
      <alignment wrapText="1"/>
    </xf>
    <xf numFmtId="184" fontId="73" fillId="0" borderId="12" xfId="0" applyNumberFormat="1" applyFont="1" applyFill="1" applyBorder="1" applyAlignment="1">
      <alignment vertical="top" wrapText="1"/>
    </xf>
    <xf numFmtId="180" fontId="56" fillId="0" borderId="12" xfId="0" applyNumberFormat="1" applyFont="1" applyFill="1" applyBorder="1" applyAlignment="1">
      <alignment horizontal="center" vertical="top" wrapText="1"/>
    </xf>
    <xf numFmtId="184" fontId="62" fillId="0" borderId="12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center" wrapText="1"/>
    </xf>
    <xf numFmtId="184" fontId="58" fillId="0" borderId="12" xfId="0" applyNumberFormat="1" applyFont="1" applyFill="1" applyBorder="1" applyAlignment="1">
      <alignment horizontal="center" vertical="top" wrapText="1"/>
    </xf>
    <xf numFmtId="184" fontId="56" fillId="0" borderId="15" xfId="0" applyNumberFormat="1" applyFont="1" applyFill="1" applyBorder="1" applyAlignment="1">
      <alignment horizontal="left" vertical="center" wrapText="1"/>
    </xf>
    <xf numFmtId="184" fontId="56" fillId="0" borderId="17" xfId="0" applyNumberFormat="1" applyFont="1" applyFill="1" applyBorder="1" applyAlignment="1">
      <alignment horizontal="left" vertical="center" wrapText="1"/>
    </xf>
    <xf numFmtId="184" fontId="56" fillId="0" borderId="14" xfId="0" applyNumberFormat="1" applyFont="1" applyFill="1" applyBorder="1" applyAlignment="1">
      <alignment horizontal="left" vertical="center" wrapText="1"/>
    </xf>
    <xf numFmtId="184" fontId="73" fillId="0" borderId="14" xfId="0" applyNumberFormat="1" applyFont="1" applyFill="1" applyBorder="1" applyAlignment="1">
      <alignment horizontal="left" vertical="center" wrapText="1"/>
    </xf>
    <xf numFmtId="184" fontId="56" fillId="0" borderId="15" xfId="0" applyNumberFormat="1" applyFont="1" applyFill="1" applyBorder="1" applyAlignment="1">
      <alignment horizontal="center" vertical="top" wrapText="1"/>
    </xf>
    <xf numFmtId="184" fontId="56" fillId="0" borderId="17" xfId="0" applyNumberFormat="1" applyFont="1" applyFill="1" applyBorder="1" applyAlignment="1">
      <alignment horizontal="center" vertical="top" wrapText="1"/>
    </xf>
    <xf numFmtId="184" fontId="56" fillId="0" borderId="14" xfId="0" applyNumberFormat="1" applyFont="1" applyFill="1" applyBorder="1" applyAlignment="1">
      <alignment horizontal="center" vertical="top" wrapText="1"/>
    </xf>
    <xf numFmtId="184" fontId="56" fillId="0" borderId="15" xfId="0" applyNumberFormat="1" applyFont="1" applyFill="1" applyBorder="1" applyAlignment="1">
      <alignment horizontal="left" vertical="top" wrapText="1"/>
    </xf>
    <xf numFmtId="184" fontId="56" fillId="0" borderId="12" xfId="0" applyNumberFormat="1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1" fontId="56" fillId="0" borderId="12" xfId="0" applyNumberFormat="1" applyFont="1" applyFill="1" applyBorder="1" applyAlignment="1">
      <alignment horizontal="center" vertical="center" wrapText="1"/>
    </xf>
    <xf numFmtId="1" fontId="56" fillId="0" borderId="14" xfId="0" applyNumberFormat="1" applyFont="1" applyFill="1" applyBorder="1" applyAlignment="1">
      <alignment horizontal="center" vertical="top" wrapText="1"/>
    </xf>
    <xf numFmtId="1" fontId="56" fillId="0" borderId="12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184" fontId="73" fillId="0" borderId="12" xfId="0" applyNumberFormat="1" applyFont="1" applyFill="1" applyBorder="1" applyAlignment="1">
      <alignment horizontal="left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wrapText="1"/>
    </xf>
    <xf numFmtId="184" fontId="56" fillId="0" borderId="12" xfId="0" applyNumberFormat="1" applyFont="1" applyFill="1" applyBorder="1" applyAlignment="1">
      <alignment horizontal="left" vertical="top" wrapText="1"/>
    </xf>
    <xf numFmtId="184" fontId="56" fillId="0" borderId="12" xfId="0" applyNumberFormat="1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top" wrapText="1"/>
    </xf>
    <xf numFmtId="178" fontId="62" fillId="0" borderId="12" xfId="0" applyNumberFormat="1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vertical="top" wrapText="1"/>
    </xf>
    <xf numFmtId="0" fontId="71" fillId="0" borderId="10" xfId="0" applyFont="1" applyFill="1" applyBorder="1" applyAlignment="1">
      <alignment vertical="top" wrapText="1"/>
    </xf>
    <xf numFmtId="0" fontId="71" fillId="0" borderId="10" xfId="0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184" fontId="5" fillId="0" borderId="12" xfId="0" applyNumberFormat="1" applyFont="1" applyFill="1" applyBorder="1" applyAlignment="1">
      <alignment horizontal="center" vertical="top" wrapText="1"/>
    </xf>
    <xf numFmtId="184" fontId="74" fillId="0" borderId="12" xfId="0" applyNumberFormat="1" applyFont="1" applyFill="1" applyBorder="1" applyAlignment="1">
      <alignment vertical="top" wrapText="1"/>
    </xf>
    <xf numFmtId="0" fontId="75" fillId="0" borderId="0" xfId="0" applyFont="1" applyFill="1" applyAlignment="1">
      <alignment horizontal="center"/>
    </xf>
    <xf numFmtId="0" fontId="62" fillId="0" borderId="20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vertical="center" wrapText="1"/>
    </xf>
    <xf numFmtId="0" fontId="62" fillId="0" borderId="22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61" fillId="0" borderId="23" xfId="0" applyFont="1" applyBorder="1" applyAlignment="1">
      <alignment horizontal="center" vertical="top" wrapText="1"/>
    </xf>
    <xf numFmtId="0" fontId="61" fillId="0" borderId="24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0" fontId="61" fillId="0" borderId="23" xfId="0" applyFont="1" applyFill="1" applyBorder="1" applyAlignment="1">
      <alignment horizontal="center" vertical="top" wrapText="1"/>
    </xf>
    <xf numFmtId="0" fontId="61" fillId="0" borderId="24" xfId="0" applyFont="1" applyFill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center" vertical="top" wrapText="1"/>
    </xf>
    <xf numFmtId="0" fontId="56" fillId="0" borderId="23" xfId="0" applyFont="1" applyBorder="1" applyAlignment="1">
      <alignment horizontal="center" vertical="top" wrapText="1"/>
    </xf>
    <xf numFmtId="0" fontId="56" fillId="0" borderId="24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76" fillId="0" borderId="0" xfId="0" applyFont="1" applyAlignment="1">
      <alignment horizontal="center"/>
    </xf>
    <xf numFmtId="0" fontId="56" fillId="0" borderId="28" xfId="0" applyFont="1" applyBorder="1" applyAlignment="1">
      <alignment horizontal="center" vertical="top" wrapText="1"/>
    </xf>
    <xf numFmtId="0" fontId="56" fillId="0" borderId="29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9" fillId="0" borderId="0" xfId="0" applyFont="1" applyAlignment="1">
      <alignment horizontal="right"/>
    </xf>
    <xf numFmtId="0" fontId="56" fillId="0" borderId="15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6" fillId="0" borderId="23" xfId="0" applyFont="1" applyBorder="1" applyAlignment="1">
      <alignment vertical="top" wrapText="1"/>
    </xf>
    <xf numFmtId="0" fontId="56" fillId="0" borderId="24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right" wrapText="1"/>
    </xf>
    <xf numFmtId="184" fontId="56" fillId="0" borderId="15" xfId="0" applyNumberFormat="1" applyFont="1" applyFill="1" applyBorder="1" applyAlignment="1">
      <alignment horizontal="center" vertical="top" wrapText="1"/>
    </xf>
    <xf numFmtId="184" fontId="56" fillId="0" borderId="17" xfId="0" applyNumberFormat="1" applyFont="1" applyFill="1" applyBorder="1" applyAlignment="1">
      <alignment horizontal="center" vertical="top" wrapText="1"/>
    </xf>
    <xf numFmtId="184" fontId="56" fillId="0" borderId="14" xfId="0" applyNumberFormat="1" applyFont="1" applyFill="1" applyBorder="1" applyAlignment="1">
      <alignment horizontal="center" vertical="top" wrapText="1"/>
    </xf>
    <xf numFmtId="184" fontId="62" fillId="0" borderId="12" xfId="0" applyNumberFormat="1" applyFont="1" applyFill="1" applyBorder="1" applyAlignment="1">
      <alignment horizontal="center" vertical="top" wrapText="1"/>
    </xf>
    <xf numFmtId="184" fontId="62" fillId="0" borderId="15" xfId="0" applyNumberFormat="1" applyFont="1" applyFill="1" applyBorder="1" applyAlignment="1">
      <alignment horizontal="left" vertical="top" wrapText="1"/>
    </xf>
    <xf numFmtId="184" fontId="62" fillId="0" borderId="17" xfId="0" applyNumberFormat="1" applyFont="1" applyFill="1" applyBorder="1" applyAlignment="1">
      <alignment horizontal="left" vertical="top" wrapText="1"/>
    </xf>
    <xf numFmtId="184" fontId="62" fillId="0" borderId="14" xfId="0" applyNumberFormat="1" applyFont="1" applyFill="1" applyBorder="1" applyAlignment="1">
      <alignment horizontal="left" vertical="top" wrapText="1"/>
    </xf>
    <xf numFmtId="184" fontId="56" fillId="0" borderId="12" xfId="0" applyNumberFormat="1" applyFont="1" applyFill="1" applyBorder="1" applyAlignment="1">
      <alignment horizontal="center" vertical="center" wrapText="1"/>
    </xf>
    <xf numFmtId="184" fontId="56" fillId="0" borderId="12" xfId="0" applyNumberFormat="1" applyFont="1" applyFill="1" applyBorder="1" applyAlignment="1">
      <alignment horizontal="center" vertical="top"/>
    </xf>
    <xf numFmtId="184" fontId="70" fillId="0" borderId="30" xfId="0" applyNumberFormat="1" applyFont="1" applyFill="1" applyBorder="1" applyAlignment="1">
      <alignment horizontal="center" vertical="top" wrapText="1"/>
    </xf>
    <xf numFmtId="184" fontId="70" fillId="0" borderId="31" xfId="0" applyNumberFormat="1" applyFont="1" applyFill="1" applyBorder="1" applyAlignment="1">
      <alignment horizontal="center" vertical="top" wrapText="1"/>
    </xf>
    <xf numFmtId="184" fontId="70" fillId="0" borderId="18" xfId="0" applyNumberFormat="1" applyFont="1" applyFill="1" applyBorder="1" applyAlignment="1">
      <alignment horizontal="center" vertical="top" wrapText="1"/>
    </xf>
    <xf numFmtId="184" fontId="70" fillId="0" borderId="19" xfId="0" applyNumberFormat="1" applyFont="1" applyFill="1" applyBorder="1" applyAlignment="1">
      <alignment horizontal="center" vertical="top" wrapText="1"/>
    </xf>
    <xf numFmtId="184" fontId="70" fillId="0" borderId="32" xfId="0" applyNumberFormat="1" applyFont="1" applyFill="1" applyBorder="1" applyAlignment="1">
      <alignment horizontal="center" vertical="top" wrapText="1"/>
    </xf>
    <xf numFmtId="184" fontId="70" fillId="0" borderId="16" xfId="0" applyNumberFormat="1" applyFont="1" applyFill="1" applyBorder="1" applyAlignment="1">
      <alignment horizontal="center" vertical="top" wrapText="1"/>
    </xf>
    <xf numFmtId="184" fontId="62" fillId="0" borderId="15" xfId="0" applyNumberFormat="1" applyFont="1" applyFill="1" applyBorder="1" applyAlignment="1">
      <alignment horizontal="center" vertical="top" wrapText="1"/>
    </xf>
    <xf numFmtId="184" fontId="62" fillId="0" borderId="17" xfId="0" applyNumberFormat="1" applyFont="1" applyFill="1" applyBorder="1" applyAlignment="1">
      <alignment horizontal="center" vertical="top" wrapText="1"/>
    </xf>
    <xf numFmtId="184" fontId="62" fillId="0" borderId="14" xfId="0" applyNumberFormat="1" applyFont="1" applyFill="1" applyBorder="1" applyAlignment="1">
      <alignment horizontal="center" vertical="top" wrapText="1"/>
    </xf>
    <xf numFmtId="184" fontId="0" fillId="0" borderId="15" xfId="0" applyNumberFormat="1" applyFill="1" applyBorder="1" applyAlignment="1">
      <alignment horizontal="center" wrapText="1"/>
    </xf>
    <xf numFmtId="184" fontId="0" fillId="0" borderId="17" xfId="0" applyNumberFormat="1" applyFill="1" applyBorder="1" applyAlignment="1">
      <alignment horizontal="center" wrapText="1"/>
    </xf>
    <xf numFmtId="184" fontId="0" fillId="0" borderId="14" xfId="0" applyNumberFormat="1" applyFill="1" applyBorder="1" applyAlignment="1">
      <alignment horizontal="center" wrapText="1"/>
    </xf>
    <xf numFmtId="184" fontId="68" fillId="0" borderId="15" xfId="0" applyNumberFormat="1" applyFont="1" applyFill="1" applyBorder="1" applyAlignment="1">
      <alignment horizontal="center" vertical="center"/>
    </xf>
    <xf numFmtId="184" fontId="68" fillId="0" borderId="17" xfId="0" applyNumberFormat="1" applyFont="1" applyFill="1" applyBorder="1" applyAlignment="1">
      <alignment horizontal="center" vertical="center"/>
    </xf>
    <xf numFmtId="184" fontId="68" fillId="0" borderId="14" xfId="0" applyNumberFormat="1" applyFont="1" applyFill="1" applyBorder="1" applyAlignment="1">
      <alignment horizontal="center" vertical="center"/>
    </xf>
    <xf numFmtId="184" fontId="68" fillId="0" borderId="15" xfId="0" applyNumberFormat="1" applyFont="1" applyFill="1" applyBorder="1" applyAlignment="1">
      <alignment horizontal="center" vertical="center" wrapText="1"/>
    </xf>
    <xf numFmtId="184" fontId="68" fillId="0" borderId="17" xfId="0" applyNumberFormat="1" applyFont="1" applyFill="1" applyBorder="1" applyAlignment="1">
      <alignment horizontal="center" vertical="center" wrapText="1"/>
    </xf>
    <xf numFmtId="184" fontId="68" fillId="0" borderId="14" xfId="0" applyNumberFormat="1" applyFont="1" applyFill="1" applyBorder="1" applyAlignment="1">
      <alignment horizontal="center" vertical="center" wrapText="1"/>
    </xf>
    <xf numFmtId="184" fontId="69" fillId="0" borderId="20" xfId="0" applyNumberFormat="1" applyFont="1" applyFill="1" applyBorder="1" applyAlignment="1">
      <alignment horizontal="center" vertical="top" wrapText="1"/>
    </xf>
    <xf numFmtId="184" fontId="69" fillId="0" borderId="21" xfId="0" applyNumberFormat="1" applyFont="1" applyFill="1" applyBorder="1" applyAlignment="1">
      <alignment horizontal="center" vertical="top" wrapText="1"/>
    </xf>
    <xf numFmtId="184" fontId="69" fillId="0" borderId="22" xfId="0" applyNumberFormat="1" applyFont="1" applyFill="1" applyBorder="1" applyAlignment="1">
      <alignment horizontal="center" vertical="top" wrapText="1"/>
    </xf>
    <xf numFmtId="184" fontId="58" fillId="0" borderId="12" xfId="0" applyNumberFormat="1" applyFont="1" applyFill="1" applyBorder="1" applyAlignment="1">
      <alignment horizontal="center" vertical="top" wrapText="1"/>
    </xf>
    <xf numFmtId="184" fontId="68" fillId="0" borderId="15" xfId="0" applyNumberFormat="1" applyFont="1" applyFill="1" applyBorder="1" applyAlignment="1">
      <alignment horizontal="center" vertical="top" wrapText="1"/>
    </xf>
    <xf numFmtId="184" fontId="68" fillId="0" borderId="17" xfId="0" applyNumberFormat="1" applyFont="1" applyFill="1" applyBorder="1" applyAlignment="1">
      <alignment horizontal="center" vertical="top" wrapText="1"/>
    </xf>
    <xf numFmtId="184" fontId="68" fillId="0" borderId="14" xfId="0" applyNumberFormat="1" applyFont="1" applyFill="1" applyBorder="1" applyAlignment="1">
      <alignment horizontal="center" vertical="top" wrapText="1"/>
    </xf>
    <xf numFmtId="184" fontId="73" fillId="0" borderId="15" xfId="0" applyNumberFormat="1" applyFont="1" applyFill="1" applyBorder="1" applyAlignment="1">
      <alignment horizontal="left" vertical="center" wrapText="1"/>
    </xf>
    <xf numFmtId="184" fontId="73" fillId="0" borderId="17" xfId="0" applyNumberFormat="1" applyFont="1" applyFill="1" applyBorder="1" applyAlignment="1">
      <alignment horizontal="left" vertical="center" wrapText="1"/>
    </xf>
    <xf numFmtId="184" fontId="73" fillId="0" borderId="14" xfId="0" applyNumberFormat="1" applyFont="1" applyFill="1" applyBorder="1" applyAlignment="1">
      <alignment horizontal="left" vertical="center" wrapText="1"/>
    </xf>
    <xf numFmtId="184" fontId="56" fillId="0" borderId="15" xfId="0" applyNumberFormat="1" applyFont="1" applyFill="1" applyBorder="1" applyAlignment="1">
      <alignment horizontal="left" vertical="center" wrapText="1"/>
    </xf>
    <xf numFmtId="184" fontId="56" fillId="0" borderId="17" xfId="0" applyNumberFormat="1" applyFont="1" applyFill="1" applyBorder="1" applyAlignment="1">
      <alignment horizontal="left" vertical="center" wrapText="1"/>
    </xf>
    <xf numFmtId="184" fontId="56" fillId="0" borderId="14" xfId="0" applyNumberFormat="1" applyFont="1" applyFill="1" applyBorder="1" applyAlignment="1">
      <alignment horizontal="left" vertical="center" wrapText="1"/>
    </xf>
    <xf numFmtId="184" fontId="58" fillId="0" borderId="20" xfId="0" applyNumberFormat="1" applyFont="1" applyFill="1" applyBorder="1" applyAlignment="1">
      <alignment horizontal="center" wrapText="1"/>
    </xf>
    <xf numFmtId="184" fontId="58" fillId="0" borderId="21" xfId="0" applyNumberFormat="1" applyFont="1" applyFill="1" applyBorder="1" applyAlignment="1">
      <alignment horizontal="center" wrapText="1"/>
    </xf>
    <xf numFmtId="184" fontId="58" fillId="0" borderId="22" xfId="0" applyNumberFormat="1" applyFont="1" applyFill="1" applyBorder="1" applyAlignment="1">
      <alignment horizontal="center" wrapText="1"/>
    </xf>
    <xf numFmtId="184" fontId="62" fillId="0" borderId="20" xfId="0" applyNumberFormat="1" applyFont="1" applyFill="1" applyBorder="1" applyAlignment="1">
      <alignment horizontal="center" vertical="top" wrapText="1"/>
    </xf>
    <xf numFmtId="184" fontId="62" fillId="0" borderId="21" xfId="0" applyNumberFormat="1" applyFont="1" applyFill="1" applyBorder="1" applyAlignment="1">
      <alignment horizontal="center" vertical="top" wrapText="1"/>
    </xf>
    <xf numFmtId="184" fontId="62" fillId="0" borderId="22" xfId="0" applyNumberFormat="1" applyFont="1" applyFill="1" applyBorder="1" applyAlignment="1">
      <alignment horizontal="center" vertical="top" wrapText="1"/>
    </xf>
    <xf numFmtId="184" fontId="56" fillId="0" borderId="15" xfId="0" applyNumberFormat="1" applyFont="1" applyFill="1" applyBorder="1" applyAlignment="1">
      <alignment horizontal="left" vertical="top" wrapText="1"/>
    </xf>
    <xf numFmtId="184" fontId="56" fillId="0" borderId="17" xfId="0" applyNumberFormat="1" applyFont="1" applyFill="1" applyBorder="1" applyAlignment="1">
      <alignment horizontal="left" vertical="top" wrapText="1"/>
    </xf>
    <xf numFmtId="184" fontId="56" fillId="0" borderId="14" xfId="0" applyNumberFormat="1" applyFont="1" applyFill="1" applyBorder="1" applyAlignment="1">
      <alignment horizontal="left" vertical="top" wrapText="1"/>
    </xf>
    <xf numFmtId="184" fontId="56" fillId="0" borderId="12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84" fontId="0" fillId="0" borderId="20" xfId="0" applyNumberFormat="1" applyFill="1" applyBorder="1" applyAlignment="1">
      <alignment horizontal="center" wrapText="1"/>
    </xf>
    <xf numFmtId="184" fontId="0" fillId="0" borderId="21" xfId="0" applyNumberFormat="1" applyFill="1" applyBorder="1" applyAlignment="1">
      <alignment horizontal="center" wrapText="1"/>
    </xf>
    <xf numFmtId="184" fontId="0" fillId="0" borderId="22" xfId="0" applyNumberFormat="1" applyFill="1" applyBorder="1" applyAlignment="1">
      <alignment horizontal="center" wrapText="1"/>
    </xf>
    <xf numFmtId="184" fontId="58" fillId="0" borderId="30" xfId="0" applyNumberFormat="1" applyFont="1" applyFill="1" applyBorder="1" applyAlignment="1">
      <alignment horizontal="center" vertical="top" wrapText="1"/>
    </xf>
    <xf numFmtId="184" fontId="58" fillId="0" borderId="31" xfId="0" applyNumberFormat="1" applyFont="1" applyFill="1" applyBorder="1" applyAlignment="1">
      <alignment horizontal="center" vertical="top" wrapText="1"/>
    </xf>
    <xf numFmtId="184" fontId="58" fillId="0" borderId="18" xfId="0" applyNumberFormat="1" applyFont="1" applyFill="1" applyBorder="1" applyAlignment="1">
      <alignment horizontal="center" vertical="top" wrapText="1"/>
    </xf>
    <xf numFmtId="184" fontId="58" fillId="0" borderId="19" xfId="0" applyNumberFormat="1" applyFont="1" applyFill="1" applyBorder="1" applyAlignment="1">
      <alignment horizontal="center" vertical="top" wrapText="1"/>
    </xf>
    <xf numFmtId="184" fontId="58" fillId="0" borderId="32" xfId="0" applyNumberFormat="1" applyFont="1" applyFill="1" applyBorder="1" applyAlignment="1">
      <alignment horizontal="center" vertical="top" wrapText="1"/>
    </xf>
    <xf numFmtId="184" fontId="58" fillId="0" borderId="16" xfId="0" applyNumberFormat="1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1" fontId="56" fillId="0" borderId="12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/>
    </xf>
    <xf numFmtId="177" fontId="62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1" fontId="56" fillId="0" borderId="12" xfId="0" applyNumberFormat="1" applyFont="1" applyFill="1" applyBorder="1" applyAlignment="1">
      <alignment horizontal="center" vertical="top" wrapText="1"/>
    </xf>
    <xf numFmtId="1" fontId="56" fillId="0" borderId="15" xfId="0" applyNumberFormat="1" applyFont="1" applyFill="1" applyBorder="1" applyAlignment="1">
      <alignment horizontal="center" vertical="top" wrapText="1"/>
    </xf>
    <xf numFmtId="1" fontId="56" fillId="0" borderId="14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184" fontId="73" fillId="0" borderId="12" xfId="0" applyNumberFormat="1" applyFont="1" applyFill="1" applyBorder="1" applyAlignment="1">
      <alignment horizontal="left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wrapText="1"/>
    </xf>
    <xf numFmtId="184" fontId="56" fillId="0" borderId="12" xfId="0" applyNumberFormat="1" applyFont="1" applyFill="1" applyBorder="1" applyAlignment="1">
      <alignment horizontal="left" vertical="top" wrapText="1"/>
    </xf>
    <xf numFmtId="184" fontId="70" fillId="0" borderId="20" xfId="0" applyNumberFormat="1" applyFont="1" applyFill="1" applyBorder="1" applyAlignment="1">
      <alignment horizontal="center" vertical="top" wrapText="1"/>
    </xf>
    <xf numFmtId="184" fontId="70" fillId="0" borderId="21" xfId="0" applyNumberFormat="1" applyFont="1" applyFill="1" applyBorder="1" applyAlignment="1">
      <alignment horizontal="center" vertical="top" wrapText="1"/>
    </xf>
    <xf numFmtId="184" fontId="70" fillId="0" borderId="22" xfId="0" applyNumberFormat="1" applyFont="1" applyFill="1" applyBorder="1" applyAlignment="1">
      <alignment horizontal="center" vertical="top" wrapText="1"/>
    </xf>
    <xf numFmtId="184" fontId="62" fillId="0" borderId="20" xfId="0" applyNumberFormat="1" applyFont="1" applyFill="1" applyBorder="1" applyAlignment="1">
      <alignment horizontal="center" wrapText="1"/>
    </xf>
    <xf numFmtId="184" fontId="62" fillId="0" borderId="21" xfId="0" applyNumberFormat="1" applyFont="1" applyFill="1" applyBorder="1" applyAlignment="1">
      <alignment horizontal="center" wrapText="1"/>
    </xf>
    <xf numFmtId="184" fontId="62" fillId="0" borderId="22" xfId="0" applyNumberFormat="1" applyFont="1" applyFill="1" applyBorder="1" applyAlignment="1">
      <alignment horizontal="center" wrapText="1"/>
    </xf>
    <xf numFmtId="184" fontId="56" fillId="0" borderId="15" xfId="0" applyNumberFormat="1" applyFont="1" applyFill="1" applyBorder="1" applyAlignment="1">
      <alignment vertical="center" wrapText="1"/>
    </xf>
    <xf numFmtId="184" fontId="56" fillId="0" borderId="17" xfId="0" applyNumberFormat="1" applyFont="1" applyFill="1" applyBorder="1" applyAlignment="1">
      <alignment vertical="center" wrapText="1"/>
    </xf>
    <xf numFmtId="184" fontId="56" fillId="0" borderId="14" xfId="0" applyNumberFormat="1" applyFont="1" applyFill="1" applyBorder="1" applyAlignment="1">
      <alignment vertical="center" wrapText="1"/>
    </xf>
    <xf numFmtId="184" fontId="56" fillId="0" borderId="12" xfId="0" applyNumberFormat="1" applyFont="1" applyFill="1" applyBorder="1" applyAlignment="1">
      <alignment vertical="top" wrapText="1"/>
    </xf>
    <xf numFmtId="184" fontId="73" fillId="0" borderId="15" xfId="0" applyNumberFormat="1" applyFont="1" applyFill="1" applyBorder="1" applyAlignment="1">
      <alignment horizontal="center" vertical="top" wrapText="1"/>
    </xf>
    <xf numFmtId="184" fontId="73" fillId="0" borderId="17" xfId="0" applyNumberFormat="1" applyFont="1" applyFill="1" applyBorder="1" applyAlignment="1">
      <alignment horizontal="center" vertical="top" wrapText="1"/>
    </xf>
    <xf numFmtId="184" fontId="73" fillId="0" borderId="14" xfId="0" applyNumberFormat="1" applyFont="1" applyFill="1" applyBorder="1" applyAlignment="1">
      <alignment horizontal="center" vertical="top" wrapText="1"/>
    </xf>
    <xf numFmtId="184" fontId="61" fillId="0" borderId="20" xfId="0" applyNumberFormat="1" applyFont="1" applyFill="1" applyBorder="1" applyAlignment="1">
      <alignment vertical="top" wrapText="1"/>
    </xf>
    <xf numFmtId="184" fontId="61" fillId="0" borderId="21" xfId="0" applyNumberFormat="1" applyFont="1" applyFill="1" applyBorder="1" applyAlignment="1">
      <alignment vertical="top" wrapText="1"/>
    </xf>
    <xf numFmtId="184" fontId="61" fillId="0" borderId="22" xfId="0" applyNumberFormat="1" applyFont="1" applyFill="1" applyBorder="1" applyAlignment="1">
      <alignment vertical="top" wrapText="1"/>
    </xf>
    <xf numFmtId="184" fontId="70" fillId="0" borderId="15" xfId="0" applyNumberFormat="1" applyFont="1" applyFill="1" applyBorder="1" applyAlignment="1">
      <alignment horizontal="center" vertical="top" wrapText="1"/>
    </xf>
    <xf numFmtId="184" fontId="70" fillId="0" borderId="17" xfId="0" applyNumberFormat="1" applyFont="1" applyFill="1" applyBorder="1" applyAlignment="1">
      <alignment horizontal="center" vertical="top" wrapText="1"/>
    </xf>
    <xf numFmtId="184" fontId="70" fillId="0" borderId="14" xfId="0" applyNumberFormat="1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right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left" vertical="top" wrapText="1"/>
    </xf>
    <xf numFmtId="0" fontId="62" fillId="0" borderId="21" xfId="0" applyFont="1" applyFill="1" applyBorder="1" applyAlignment="1">
      <alignment horizontal="left" vertical="top" wrapText="1"/>
    </xf>
    <xf numFmtId="0" fontId="62" fillId="0" borderId="22" xfId="0" applyFont="1" applyFill="1" applyBorder="1" applyAlignment="1">
      <alignment horizontal="left" vertical="top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178" fontId="62" fillId="0" borderId="12" xfId="0" applyNumberFormat="1" applyFont="1" applyFill="1" applyBorder="1" applyAlignment="1">
      <alignment horizontal="center" vertical="top" wrapText="1"/>
    </xf>
    <xf numFmtId="178" fontId="63" fillId="0" borderId="12" xfId="0" applyNumberFormat="1" applyFont="1" applyFill="1" applyBorder="1" applyAlignment="1">
      <alignment horizontal="center" vertical="top" wrapText="1"/>
    </xf>
    <xf numFmtId="0" fontId="78" fillId="0" borderId="12" xfId="0" applyFont="1" applyFill="1" applyBorder="1" applyAlignment="1">
      <alignment horizontal="center" vertical="top" wrapText="1"/>
    </xf>
    <xf numFmtId="0" fontId="62" fillId="0" borderId="30" xfId="0" applyFont="1" applyFill="1" applyBorder="1" applyAlignment="1">
      <alignment horizontal="center" vertical="top" wrapText="1"/>
    </xf>
    <xf numFmtId="0" fontId="62" fillId="0" borderId="31" xfId="0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center" vertical="top" wrapText="1"/>
    </xf>
    <xf numFmtId="0" fontId="61" fillId="0" borderId="30" xfId="0" applyFont="1" applyFill="1" applyBorder="1" applyAlignment="1">
      <alignment horizontal="left" vertical="top" wrapText="1"/>
    </xf>
    <xf numFmtId="0" fontId="61" fillId="0" borderId="33" xfId="0" applyFont="1" applyFill="1" applyBorder="1" applyAlignment="1">
      <alignment horizontal="left" vertical="top" wrapText="1"/>
    </xf>
    <xf numFmtId="0" fontId="61" fillId="0" borderId="31" xfId="0" applyFont="1" applyFill="1" applyBorder="1" applyAlignment="1">
      <alignment horizontal="left" vertical="top" wrapText="1"/>
    </xf>
    <xf numFmtId="0" fontId="61" fillId="0" borderId="32" xfId="0" applyFont="1" applyFill="1" applyBorder="1" applyAlignment="1">
      <alignment horizontal="left" vertical="top" wrapText="1"/>
    </xf>
    <xf numFmtId="0" fontId="61" fillId="0" borderId="34" xfId="0" applyFont="1" applyFill="1" applyBorder="1" applyAlignment="1">
      <alignment horizontal="left" vertical="top" wrapText="1"/>
    </xf>
    <xf numFmtId="0" fontId="61" fillId="0" borderId="16" xfId="0" applyFont="1" applyFill="1" applyBorder="1" applyAlignment="1">
      <alignment horizontal="left" vertical="top" wrapText="1"/>
    </xf>
    <xf numFmtId="0" fontId="70" fillId="0" borderId="35" xfId="0" applyFont="1" applyFill="1" applyBorder="1" applyAlignment="1">
      <alignment horizontal="center" wrapText="1"/>
    </xf>
    <xf numFmtId="0" fontId="70" fillId="0" borderId="21" xfId="0" applyFont="1" applyFill="1" applyBorder="1" applyAlignment="1">
      <alignment horizontal="center" wrapText="1"/>
    </xf>
    <xf numFmtId="0" fontId="58" fillId="0" borderId="15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0" fontId="62" fillId="0" borderId="33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top" wrapText="1"/>
    </xf>
    <xf numFmtId="0" fontId="62" fillId="0" borderId="34" xfId="0" applyFont="1" applyFill="1" applyBorder="1" applyAlignment="1">
      <alignment horizontal="center" vertical="top" wrapText="1"/>
    </xf>
    <xf numFmtId="2" fontId="62" fillId="0" borderId="15" xfId="0" applyNumberFormat="1" applyFont="1" applyFill="1" applyBorder="1" applyAlignment="1">
      <alignment horizontal="center" vertical="top" wrapText="1"/>
    </xf>
    <xf numFmtId="2" fontId="62" fillId="0" borderId="17" xfId="0" applyNumberFormat="1" applyFont="1" applyFill="1" applyBorder="1" applyAlignment="1">
      <alignment horizontal="center" vertical="top" wrapText="1"/>
    </xf>
    <xf numFmtId="2" fontId="62" fillId="0" borderId="14" xfId="0" applyNumberFormat="1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vertical="top" wrapText="1"/>
    </xf>
    <xf numFmtId="0" fontId="62" fillId="0" borderId="17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60" fillId="0" borderId="12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61" fillId="0" borderId="0" xfId="0" applyFont="1" applyAlignment="1">
      <alignment horizontal="right"/>
    </xf>
    <xf numFmtId="0" fontId="66" fillId="0" borderId="34" xfId="0" applyFont="1" applyBorder="1" applyAlignment="1">
      <alignment horizontal="center" vertical="center"/>
    </xf>
    <xf numFmtId="0" fontId="61" fillId="0" borderId="34" xfId="0" applyFont="1" applyBorder="1" applyAlignment="1">
      <alignment/>
    </xf>
    <xf numFmtId="0" fontId="60" fillId="0" borderId="31" xfId="0" applyFont="1" applyBorder="1" applyAlignment="1">
      <alignment horizontal="center" vertical="top" wrapText="1"/>
    </xf>
    <xf numFmtId="0" fontId="60" fillId="0" borderId="19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12" xfId="0" applyFont="1" applyFill="1" applyBorder="1" applyAlignment="1">
      <alignment horizontal="justify" vertical="top" wrapText="1"/>
    </xf>
    <xf numFmtId="0" fontId="66" fillId="0" borderId="20" xfId="0" applyFont="1" applyFill="1" applyBorder="1" applyAlignment="1">
      <alignment horizontal="center" vertical="top" wrapText="1"/>
    </xf>
    <xf numFmtId="0" fontId="61" fillId="0" borderId="21" xfId="0" applyFont="1" applyFill="1" applyBorder="1" applyAlignment="1">
      <alignment vertical="top" wrapText="1"/>
    </xf>
    <xf numFmtId="0" fontId="61" fillId="0" borderId="22" xfId="0" applyFont="1" applyFill="1" applyBorder="1" applyAlignment="1">
      <alignment vertical="top" wrapText="1"/>
    </xf>
    <xf numFmtId="0" fontId="60" fillId="0" borderId="31" xfId="0" applyFont="1" applyFill="1" applyBorder="1" applyAlignment="1">
      <alignment horizontal="center" vertical="top" wrapText="1"/>
    </xf>
    <xf numFmtId="0" fontId="60" fillId="0" borderId="19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top" wrapText="1"/>
    </xf>
    <xf numFmtId="0" fontId="66" fillId="0" borderId="15" xfId="0" applyFont="1" applyFill="1" applyBorder="1" applyAlignment="1">
      <alignment horizontal="center" vertical="top" wrapText="1"/>
    </xf>
    <xf numFmtId="0" fontId="66" fillId="0" borderId="17" xfId="0" applyFont="1" applyFill="1" applyBorder="1" applyAlignment="1">
      <alignment horizontal="center" vertical="top" wrapText="1"/>
    </xf>
    <xf numFmtId="0" fontId="66" fillId="0" borderId="14" xfId="0" applyFont="1" applyFill="1" applyBorder="1" applyAlignment="1">
      <alignment horizontal="center" vertical="top" wrapText="1"/>
    </xf>
    <xf numFmtId="0" fontId="60" fillId="0" borderId="30" xfId="0" applyFont="1" applyFill="1" applyBorder="1" applyAlignment="1">
      <alignment horizontal="center" vertical="top" wrapText="1"/>
    </xf>
    <xf numFmtId="0" fontId="61" fillId="0" borderId="31" xfId="0" applyFont="1" applyFill="1" applyBorder="1" applyAlignment="1">
      <alignment vertical="top" wrapText="1"/>
    </xf>
    <xf numFmtId="0" fontId="61" fillId="0" borderId="18" xfId="0" applyFont="1" applyFill="1" applyBorder="1" applyAlignment="1">
      <alignment vertical="top" wrapText="1"/>
    </xf>
    <xf numFmtId="0" fontId="61" fillId="0" borderId="19" xfId="0" applyFont="1" applyFill="1" applyBorder="1" applyAlignment="1">
      <alignment vertical="top" wrapText="1"/>
    </xf>
    <xf numFmtId="0" fontId="61" fillId="0" borderId="32" xfId="0" applyFont="1" applyFill="1" applyBorder="1" applyAlignment="1">
      <alignment vertical="top" wrapText="1"/>
    </xf>
    <xf numFmtId="0" fontId="61" fillId="0" borderId="16" xfId="0" applyFont="1" applyFill="1" applyBorder="1" applyAlignment="1">
      <alignment vertical="top" wrapText="1"/>
    </xf>
    <xf numFmtId="0" fontId="60" fillId="0" borderId="18" xfId="0" applyFont="1" applyFill="1" applyBorder="1" applyAlignment="1">
      <alignment horizontal="center" vertical="top" wrapText="1"/>
    </xf>
    <xf numFmtId="0" fontId="60" fillId="0" borderId="32" xfId="0" applyFont="1" applyFill="1" applyBorder="1" applyAlignment="1">
      <alignment horizontal="center" vertical="top" wrapText="1"/>
    </xf>
    <xf numFmtId="0" fontId="61" fillId="0" borderId="17" xfId="0" applyFont="1" applyFill="1" applyBorder="1" applyAlignment="1">
      <alignment horizontal="center" vertical="top" wrapText="1"/>
    </xf>
    <xf numFmtId="0" fontId="65" fillId="0" borderId="12" xfId="0" applyFont="1" applyBorder="1" applyAlignment="1">
      <alignment vertical="top" wrapText="1"/>
    </xf>
    <xf numFmtId="0" fontId="60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0">
      <selection activeCell="D18" sqref="D18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16.57421875" style="0" customWidth="1"/>
    <col min="4" max="4" width="17.140625" style="0" customWidth="1"/>
    <col min="5" max="5" width="11.57421875" style="0" bestFit="1" customWidth="1"/>
    <col min="6" max="6" width="13.8515625" style="0" bestFit="1" customWidth="1"/>
    <col min="7" max="7" width="15.7109375" style="0" customWidth="1"/>
    <col min="8" max="8" width="16.7109375" style="0" customWidth="1"/>
    <col min="9" max="9" width="20.28125" style="0" customWidth="1"/>
    <col min="10" max="10" width="17.00390625" style="0" customWidth="1"/>
    <col min="11" max="11" width="30.8515625" style="0" customWidth="1"/>
  </cols>
  <sheetData>
    <row r="1" spans="11:12" ht="18">
      <c r="K1" s="194"/>
      <c r="L1" s="194"/>
    </row>
    <row r="2" spans="1:12" ht="14.25">
      <c r="A2" s="199" t="s">
        <v>310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2.75" customHeight="1">
      <c r="A3" s="140"/>
      <c r="B3" s="140"/>
      <c r="C3" s="140"/>
      <c r="D3" s="140"/>
      <c r="E3" s="140"/>
      <c r="F3" s="140"/>
      <c r="G3" s="140"/>
      <c r="H3" s="140"/>
      <c r="I3" s="140"/>
      <c r="J3" s="207" t="s">
        <v>313</v>
      </c>
      <c r="K3" s="207"/>
      <c r="L3" s="207"/>
    </row>
    <row r="4" spans="1:12" ht="14.25">
      <c r="A4" s="13"/>
      <c r="B4" s="13"/>
      <c r="C4" s="13"/>
      <c r="D4" s="13"/>
      <c r="E4" s="13"/>
      <c r="F4" s="18"/>
      <c r="G4" s="18"/>
      <c r="H4" s="13"/>
      <c r="I4" s="137"/>
      <c r="J4" s="206" t="s">
        <v>308</v>
      </c>
      <c r="K4" s="206"/>
      <c r="L4" s="206"/>
    </row>
    <row r="5" spans="1:12" ht="14.25">
      <c r="A5" s="7"/>
      <c r="B5" s="7"/>
      <c r="C5" s="7"/>
      <c r="D5" s="8"/>
      <c r="E5" s="7"/>
      <c r="F5" s="7"/>
      <c r="G5" s="7"/>
      <c r="H5" s="11"/>
      <c r="I5" s="7"/>
      <c r="J5" s="7"/>
      <c r="K5" s="199"/>
      <c r="L5" s="199"/>
    </row>
    <row r="6" spans="1:12" ht="14.25">
      <c r="A6" s="7"/>
      <c r="B6" s="7"/>
      <c r="C6" s="7"/>
      <c r="D6" s="8"/>
      <c r="E6" s="7"/>
      <c r="F6" s="7"/>
      <c r="G6" s="7"/>
      <c r="H6" s="11"/>
      <c r="I6" s="7"/>
      <c r="J6" s="7"/>
      <c r="K6" s="14"/>
      <c r="L6" s="14"/>
    </row>
    <row r="7" ht="18" thickBot="1">
      <c r="B7" s="3" t="s">
        <v>17</v>
      </c>
    </row>
    <row r="8" spans="1:11" ht="26.25" customHeight="1">
      <c r="A8" s="203" t="s">
        <v>0</v>
      </c>
      <c r="B8" s="191" t="s">
        <v>142</v>
      </c>
      <c r="C8" s="188" t="s">
        <v>2</v>
      </c>
      <c r="D8" s="19" t="s">
        <v>3</v>
      </c>
      <c r="E8" s="181" t="s">
        <v>5</v>
      </c>
      <c r="F8" s="181"/>
      <c r="G8" s="181"/>
      <c r="H8" s="198"/>
      <c r="I8" s="198"/>
      <c r="J8" s="200" t="s">
        <v>7</v>
      </c>
      <c r="K8" s="195" t="s">
        <v>143</v>
      </c>
    </row>
    <row r="9" spans="1:11" ht="15.75" customHeight="1">
      <c r="A9" s="204"/>
      <c r="B9" s="192"/>
      <c r="C9" s="189"/>
      <c r="D9" s="19" t="s">
        <v>4</v>
      </c>
      <c r="E9" s="181" t="s">
        <v>213</v>
      </c>
      <c r="F9" s="181" t="s">
        <v>6</v>
      </c>
      <c r="G9" s="181"/>
      <c r="H9" s="181"/>
      <c r="I9" s="181"/>
      <c r="J9" s="201"/>
      <c r="K9" s="196"/>
    </row>
    <row r="10" spans="1:11" ht="20.25" customHeight="1" thickBot="1">
      <c r="A10" s="205"/>
      <c r="B10" s="193"/>
      <c r="C10" s="190"/>
      <c r="D10" s="21"/>
      <c r="E10" s="181"/>
      <c r="F10" s="181" t="s">
        <v>212</v>
      </c>
      <c r="G10" s="181"/>
      <c r="H10" s="181"/>
      <c r="I10" s="181" t="s">
        <v>8</v>
      </c>
      <c r="J10" s="201"/>
      <c r="K10" s="197"/>
    </row>
    <row r="11" spans="1:11" ht="21" customHeight="1" thickBot="1">
      <c r="A11" s="17"/>
      <c r="B11" s="1"/>
      <c r="C11" s="29"/>
      <c r="D11" s="21"/>
      <c r="E11" s="181"/>
      <c r="F11" s="181" t="s">
        <v>203</v>
      </c>
      <c r="G11" s="181" t="s">
        <v>204</v>
      </c>
      <c r="H11" s="181"/>
      <c r="I11" s="181"/>
      <c r="J11" s="201"/>
      <c r="K11" s="1"/>
    </row>
    <row r="12" spans="1:11" ht="39" customHeight="1" thickBot="1">
      <c r="A12" s="17"/>
      <c r="B12" s="1"/>
      <c r="C12" s="29"/>
      <c r="D12" s="21"/>
      <c r="E12" s="181"/>
      <c r="F12" s="181"/>
      <c r="G12" s="19" t="s">
        <v>205</v>
      </c>
      <c r="H12" s="19" t="s">
        <v>207</v>
      </c>
      <c r="I12" s="181"/>
      <c r="J12" s="202"/>
      <c r="K12" s="1"/>
    </row>
    <row r="13" spans="1:11" ht="15" thickBot="1">
      <c r="A13" s="2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</row>
    <row r="14" spans="1:11" ht="21.75" customHeight="1" thickBot="1">
      <c r="A14" s="182" t="s">
        <v>9</v>
      </c>
      <c r="B14" s="185" t="s">
        <v>154</v>
      </c>
      <c r="C14" s="109">
        <v>2017</v>
      </c>
      <c r="D14" s="110">
        <f aca="true" t="shared" si="0" ref="D14:D23">H14+I14+J14</f>
        <v>83856.64676000002</v>
      </c>
      <c r="E14" s="110"/>
      <c r="F14" s="110">
        <f>G14+H14</f>
        <v>9038.8</v>
      </c>
      <c r="G14" s="110"/>
      <c r="H14" s="110">
        <f>H21</f>
        <v>9038.8</v>
      </c>
      <c r="I14" s="110">
        <f>I21+I28+I35</f>
        <v>74817.84676000001</v>
      </c>
      <c r="J14" s="110">
        <v>0</v>
      </c>
      <c r="K14" s="182" t="s">
        <v>10</v>
      </c>
    </row>
    <row r="15" spans="1:11" ht="20.25" customHeight="1" thickBot="1">
      <c r="A15" s="183"/>
      <c r="B15" s="186"/>
      <c r="C15" s="109">
        <v>2018</v>
      </c>
      <c r="D15" s="110">
        <f t="shared" si="0"/>
        <v>81456.39127</v>
      </c>
      <c r="E15" s="110"/>
      <c r="F15" s="110">
        <f>H15+G15</f>
        <v>10207.418000000001</v>
      </c>
      <c r="G15" s="110"/>
      <c r="H15" s="110">
        <f>SUM(H22+H29+H36)</f>
        <v>10207.418000000001</v>
      </c>
      <c r="I15" s="110">
        <f>SUM(I22+I29+I36)</f>
        <v>65309.934519999995</v>
      </c>
      <c r="J15" s="110">
        <f>J22</f>
        <v>5939.03875</v>
      </c>
      <c r="K15" s="183"/>
    </row>
    <row r="16" spans="1:11" ht="15.75" thickBot="1">
      <c r="A16" s="183"/>
      <c r="B16" s="186"/>
      <c r="C16" s="109">
        <v>2019</v>
      </c>
      <c r="D16" s="110">
        <f>F16+I16+J16</f>
        <v>94820.90904000001</v>
      </c>
      <c r="E16" s="110"/>
      <c r="F16" s="110">
        <f>G16+H16</f>
        <v>15341.064000000002</v>
      </c>
      <c r="G16" s="110">
        <f>G30</f>
        <v>4407.4</v>
      </c>
      <c r="H16" s="110">
        <f>H23+H30</f>
        <v>10933.664000000002</v>
      </c>
      <c r="I16" s="110">
        <f>I23+I30+I37</f>
        <v>69536.57411000002</v>
      </c>
      <c r="J16" s="110">
        <f>J23</f>
        <v>9943.270929999999</v>
      </c>
      <c r="K16" s="183"/>
    </row>
    <row r="17" spans="1:11" ht="21" customHeight="1" thickBot="1">
      <c r="A17" s="183"/>
      <c r="B17" s="186"/>
      <c r="C17" s="109">
        <v>2020</v>
      </c>
      <c r="D17" s="110">
        <f>H17+I17+J17+E17</f>
        <v>85929.831</v>
      </c>
      <c r="E17" s="110">
        <v>16.6</v>
      </c>
      <c r="F17" s="110">
        <f>H17</f>
        <v>11747.5</v>
      </c>
      <c r="G17" s="110"/>
      <c r="H17" s="110">
        <f>H24+H31</f>
        <v>11747.5</v>
      </c>
      <c r="I17" s="110">
        <f>I24+I31+I38</f>
        <v>65097.111</v>
      </c>
      <c r="J17" s="110">
        <f>J24</f>
        <v>9068.619999999999</v>
      </c>
      <c r="K17" s="183"/>
    </row>
    <row r="18" spans="1:11" ht="21" customHeight="1" thickBot="1">
      <c r="A18" s="183"/>
      <c r="B18" s="186"/>
      <c r="C18" s="109">
        <v>2021</v>
      </c>
      <c r="D18" s="110">
        <f>H18+I18+J18+E18</f>
        <v>76927.99</v>
      </c>
      <c r="E18" s="110">
        <v>16.6</v>
      </c>
      <c r="F18" s="110">
        <f>H18</f>
        <v>11455.2</v>
      </c>
      <c r="G18" s="110"/>
      <c r="H18" s="110">
        <f>H25+H32</f>
        <v>11455.2</v>
      </c>
      <c r="I18" s="110">
        <f>I25+I32+I39</f>
        <v>56387.57</v>
      </c>
      <c r="J18" s="110">
        <f>J25</f>
        <v>9068.619999999999</v>
      </c>
      <c r="K18" s="183"/>
    </row>
    <row r="19" spans="1:11" ht="21" customHeight="1" thickBot="1">
      <c r="A19" s="183"/>
      <c r="B19" s="187"/>
      <c r="C19" s="109">
        <v>2022</v>
      </c>
      <c r="D19" s="110">
        <f>J19+I19+H19+G19+E19</f>
        <v>79127.33</v>
      </c>
      <c r="E19" s="110">
        <v>16.6</v>
      </c>
      <c r="F19" s="110">
        <f>H19+G19</f>
        <v>13955.2</v>
      </c>
      <c r="G19" s="110">
        <f>G26</f>
        <v>2500</v>
      </c>
      <c r="H19" s="110">
        <f>H26+H33</f>
        <v>11455.2</v>
      </c>
      <c r="I19" s="110">
        <f>I26+I33+I40</f>
        <v>56086.909999999996</v>
      </c>
      <c r="J19" s="110">
        <f>J26</f>
        <v>9068.619999999999</v>
      </c>
      <c r="K19" s="183"/>
    </row>
    <row r="20" spans="1:11" ht="30.75" customHeight="1" thickBot="1">
      <c r="A20" s="184"/>
      <c r="B20" s="171" t="s">
        <v>11</v>
      </c>
      <c r="C20" s="172" t="s">
        <v>296</v>
      </c>
      <c r="D20" s="111">
        <f>SUM(D14:D19)</f>
        <v>502119.09807</v>
      </c>
      <c r="E20" s="111">
        <f>SUM(E17:E19)</f>
        <v>49.800000000000004</v>
      </c>
      <c r="F20" s="111">
        <f>SUM(F14:F19)</f>
        <v>71745.182</v>
      </c>
      <c r="G20" s="111">
        <f>G16+G19</f>
        <v>6907.4</v>
      </c>
      <c r="H20" s="111">
        <f>SUM(H14:H19)</f>
        <v>64837.78200000001</v>
      </c>
      <c r="I20" s="111">
        <f>SUM(I14:I19)</f>
        <v>387235.94639</v>
      </c>
      <c r="J20" s="111">
        <f>SUM(J14:J19)</f>
        <v>43088.16967999999</v>
      </c>
      <c r="K20" s="184"/>
    </row>
    <row r="21" spans="1:11" ht="30.75" customHeight="1" thickBot="1">
      <c r="A21" s="182" t="s">
        <v>12</v>
      </c>
      <c r="B21" s="185" t="s">
        <v>155</v>
      </c>
      <c r="C21" s="109">
        <v>2017</v>
      </c>
      <c r="D21" s="110">
        <f t="shared" si="0"/>
        <v>83485.04676000001</v>
      </c>
      <c r="E21" s="110"/>
      <c r="F21" s="110">
        <f>G21+H21</f>
        <v>9038.8</v>
      </c>
      <c r="G21" s="110"/>
      <c r="H21" s="110">
        <f>'под. культура'!H520</f>
        <v>9038.8</v>
      </c>
      <c r="I21" s="110">
        <f>'под. культура'!I520</f>
        <v>74446.24676000001</v>
      </c>
      <c r="J21" s="110">
        <f>'под. культура'!J520</f>
        <v>0</v>
      </c>
      <c r="K21" s="182" t="s">
        <v>10</v>
      </c>
    </row>
    <row r="22" spans="1:11" ht="27" customHeight="1" thickBot="1">
      <c r="A22" s="183"/>
      <c r="B22" s="186"/>
      <c r="C22" s="109">
        <v>2018</v>
      </c>
      <c r="D22" s="110">
        <f t="shared" si="0"/>
        <v>81020.64127</v>
      </c>
      <c r="E22" s="110"/>
      <c r="F22" s="110">
        <f>G22+H22</f>
        <v>10207.418000000001</v>
      </c>
      <c r="G22" s="110"/>
      <c r="H22" s="110">
        <f>'под. культура'!H521</f>
        <v>10207.418000000001</v>
      </c>
      <c r="I22" s="110">
        <f>'под. культура'!I521</f>
        <v>64874.184519999995</v>
      </c>
      <c r="J22" s="110">
        <f>'под. культура'!J500</f>
        <v>5939.03875</v>
      </c>
      <c r="K22" s="183"/>
    </row>
    <row r="23" spans="1:11" ht="27" customHeight="1" thickBot="1">
      <c r="A23" s="183"/>
      <c r="B23" s="186"/>
      <c r="C23" s="109">
        <v>2019</v>
      </c>
      <c r="D23" s="110">
        <f t="shared" si="0"/>
        <v>89416.72404000002</v>
      </c>
      <c r="E23" s="110"/>
      <c r="F23" s="110">
        <f>G23+H23</f>
        <v>10602.964000000002</v>
      </c>
      <c r="G23" s="110"/>
      <c r="H23" s="110">
        <f>'под. культура'!H522</f>
        <v>10602.964000000002</v>
      </c>
      <c r="I23" s="110">
        <f>'под. культура'!I522</f>
        <v>68870.48911000001</v>
      </c>
      <c r="J23" s="110">
        <f>'под. культура'!J501</f>
        <v>9943.270929999999</v>
      </c>
      <c r="K23" s="183"/>
    </row>
    <row r="24" spans="1:11" ht="24.75" customHeight="1" thickBot="1">
      <c r="A24" s="183"/>
      <c r="B24" s="186"/>
      <c r="C24" s="109">
        <v>2020</v>
      </c>
      <c r="D24" s="110">
        <f>H24+I24+J246</f>
        <v>75760.70599999999</v>
      </c>
      <c r="E24" s="110" t="s">
        <v>331</v>
      </c>
      <c r="F24" s="110">
        <f>G24+H24</f>
        <v>11163.9</v>
      </c>
      <c r="G24" s="110"/>
      <c r="H24" s="110">
        <f>'под. культура'!H523</f>
        <v>11163.9</v>
      </c>
      <c r="I24" s="110">
        <f>'под. культура'!I523</f>
        <v>64596.806</v>
      </c>
      <c r="J24" s="110">
        <f>'под. культура'!J502</f>
        <v>9068.619999999999</v>
      </c>
      <c r="K24" s="183"/>
    </row>
    <row r="25" spans="1:11" ht="24.75" customHeight="1" thickBot="1">
      <c r="A25" s="183"/>
      <c r="B25" s="186"/>
      <c r="C25" s="109">
        <v>2021</v>
      </c>
      <c r="D25" s="110">
        <f>H25+I25+J25+E25</f>
        <v>76600.09</v>
      </c>
      <c r="E25" s="110">
        <v>16.6</v>
      </c>
      <c r="F25" s="110">
        <f>H25</f>
        <v>11163.900000000001</v>
      </c>
      <c r="G25" s="110"/>
      <c r="H25" s="110">
        <f>'под. культура'!H524</f>
        <v>11163.900000000001</v>
      </c>
      <c r="I25" s="110">
        <f>'под. культура'!I524</f>
        <v>56350.97</v>
      </c>
      <c r="J25" s="110">
        <f>'под. культура'!J524</f>
        <v>9068.619999999999</v>
      </c>
      <c r="K25" s="183"/>
    </row>
    <row r="26" spans="1:11" ht="24.75" customHeight="1" thickBot="1">
      <c r="A26" s="183"/>
      <c r="B26" s="187"/>
      <c r="C26" s="109">
        <v>2022</v>
      </c>
      <c r="D26" s="110">
        <f>I26+J26+H26+G26+E26</f>
        <v>78799.43</v>
      </c>
      <c r="E26" s="110">
        <v>16.6</v>
      </c>
      <c r="F26" s="110">
        <f>H26+G26</f>
        <v>13663.900000000001</v>
      </c>
      <c r="G26" s="110">
        <f>'под. культура'!G525</f>
        <v>2500</v>
      </c>
      <c r="H26" s="110">
        <f>'под. культура'!H525</f>
        <v>11163.900000000001</v>
      </c>
      <c r="I26" s="110">
        <f>'под. культура'!I525</f>
        <v>56050.31</v>
      </c>
      <c r="J26" s="110">
        <f>'под. культура'!J525</f>
        <v>9068.619999999999</v>
      </c>
      <c r="K26" s="183"/>
    </row>
    <row r="27" spans="1:11" ht="21" customHeight="1" thickBot="1">
      <c r="A27" s="184"/>
      <c r="B27" s="171" t="s">
        <v>13</v>
      </c>
      <c r="C27" s="172" t="s">
        <v>297</v>
      </c>
      <c r="D27" s="111">
        <f>SUM(D21:D26)</f>
        <v>485082.63807000004</v>
      </c>
      <c r="E27" s="111">
        <f>SUM(E24:E26)</f>
        <v>33.2</v>
      </c>
      <c r="F27" s="111">
        <f>SUM(F21:F26)</f>
        <v>65840.88200000001</v>
      </c>
      <c r="G27" s="111">
        <f>G26</f>
        <v>2500</v>
      </c>
      <c r="H27" s="111">
        <f>SUM(H21:H26)</f>
        <v>63340.882000000005</v>
      </c>
      <c r="I27" s="111">
        <f>SUM(I21:I26)</f>
        <v>385189.00639000005</v>
      </c>
      <c r="J27" s="111">
        <f>SUM(J21:J26)</f>
        <v>43088.16967999999</v>
      </c>
      <c r="K27" s="184"/>
    </row>
    <row r="28" spans="1:11" ht="21" customHeight="1" thickBot="1">
      <c r="A28" s="182" t="s">
        <v>14</v>
      </c>
      <c r="B28" s="185" t="s">
        <v>161</v>
      </c>
      <c r="C28" s="109">
        <v>2017</v>
      </c>
      <c r="D28" s="110">
        <f>I28</f>
        <v>358.5</v>
      </c>
      <c r="E28" s="111"/>
      <c r="F28" s="111"/>
      <c r="G28" s="111"/>
      <c r="H28" s="111"/>
      <c r="I28" s="110">
        <f>'подпр Физ и спорт'!O49</f>
        <v>358.5</v>
      </c>
      <c r="J28" s="111"/>
      <c r="K28" s="182" t="s">
        <v>10</v>
      </c>
    </row>
    <row r="29" spans="1:11" ht="19.5" customHeight="1" thickBot="1">
      <c r="A29" s="183"/>
      <c r="B29" s="186"/>
      <c r="C29" s="109">
        <v>2018</v>
      </c>
      <c r="D29" s="110">
        <f>H29+I29</f>
        <v>428.5</v>
      </c>
      <c r="E29" s="110"/>
      <c r="F29" s="110"/>
      <c r="G29" s="110"/>
      <c r="H29" s="110"/>
      <c r="I29" s="110">
        <f>'подпр Физ и спорт'!O50+70</f>
        <v>428.5</v>
      </c>
      <c r="J29" s="111"/>
      <c r="K29" s="183"/>
    </row>
    <row r="30" spans="1:11" ht="15.75" thickBot="1">
      <c r="A30" s="183"/>
      <c r="B30" s="186"/>
      <c r="C30" s="109">
        <v>2019</v>
      </c>
      <c r="D30" s="110">
        <f>H30+I30+G30</f>
        <v>5391.084999999999</v>
      </c>
      <c r="E30" s="111"/>
      <c r="F30" s="110">
        <f>H30+G30</f>
        <v>4738.099999999999</v>
      </c>
      <c r="G30" s="110">
        <f>'подпр Физ и спорт'!H61</f>
        <v>4407.4</v>
      </c>
      <c r="H30" s="110">
        <f>'подпр Физ и спорт'!I97</f>
        <v>330.7</v>
      </c>
      <c r="I30" s="110">
        <f>'подпр Физ и спорт'!O97</f>
        <v>652.985</v>
      </c>
      <c r="J30" s="111"/>
      <c r="K30" s="183"/>
    </row>
    <row r="31" spans="1:11" ht="24" customHeight="1" thickBot="1">
      <c r="A31" s="183"/>
      <c r="B31" s="186"/>
      <c r="C31" s="109">
        <v>2020</v>
      </c>
      <c r="D31" s="110">
        <f>H31+I31</f>
        <v>1070.805</v>
      </c>
      <c r="E31" s="111"/>
      <c r="F31" s="110">
        <f>G31+H31</f>
        <v>583.6</v>
      </c>
      <c r="G31" s="111"/>
      <c r="H31" s="110">
        <f>'подпр Физ и спорт'!I98</f>
        <v>583.6</v>
      </c>
      <c r="I31" s="110">
        <f>'подпр Физ и спорт'!O98</f>
        <v>487.205</v>
      </c>
      <c r="J31" s="111"/>
      <c r="K31" s="183"/>
    </row>
    <row r="32" spans="1:11" ht="24" customHeight="1" thickBot="1">
      <c r="A32" s="183"/>
      <c r="B32" s="186"/>
      <c r="C32" s="109">
        <v>2021</v>
      </c>
      <c r="D32" s="110">
        <f>H32+I32+J32</f>
        <v>316.3</v>
      </c>
      <c r="E32" s="111"/>
      <c r="F32" s="110">
        <f>H32</f>
        <v>291.3</v>
      </c>
      <c r="G32" s="111"/>
      <c r="H32" s="110">
        <f>'подпр Физ и спорт'!I99</f>
        <v>291.3</v>
      </c>
      <c r="I32" s="110">
        <f>'подпр Физ и спорт'!O99</f>
        <v>25</v>
      </c>
      <c r="J32" s="111"/>
      <c r="K32" s="183"/>
    </row>
    <row r="33" spans="1:11" ht="24" customHeight="1" thickBot="1">
      <c r="A33" s="183"/>
      <c r="B33" s="187"/>
      <c r="C33" s="109">
        <v>2022</v>
      </c>
      <c r="D33" s="110">
        <f>I33+H33</f>
        <v>316.3</v>
      </c>
      <c r="E33" s="111"/>
      <c r="F33" s="110">
        <f>H33</f>
        <v>291.3</v>
      </c>
      <c r="G33" s="111"/>
      <c r="H33" s="110">
        <f>'подпр Физ и спорт'!I100</f>
        <v>291.3</v>
      </c>
      <c r="I33" s="110">
        <f>'подпр Физ и спорт'!O100</f>
        <v>25</v>
      </c>
      <c r="J33" s="111"/>
      <c r="K33" s="183"/>
    </row>
    <row r="34" spans="1:11" ht="18" customHeight="1" thickBot="1">
      <c r="A34" s="184"/>
      <c r="B34" s="171" t="s">
        <v>15</v>
      </c>
      <c r="C34" s="172" t="s">
        <v>297</v>
      </c>
      <c r="D34" s="111">
        <f>SUM(D28:D33)</f>
        <v>7881.49</v>
      </c>
      <c r="E34" s="111"/>
      <c r="F34" s="111">
        <f>SUM(F28:F32)</f>
        <v>5613</v>
      </c>
      <c r="G34" s="111">
        <f>G30</f>
        <v>4407.4</v>
      </c>
      <c r="H34" s="111">
        <f>SUM(H28:H32)</f>
        <v>1205.6</v>
      </c>
      <c r="I34" s="111">
        <f>SUM(I28:I32)</f>
        <v>1952.19</v>
      </c>
      <c r="J34" s="111"/>
      <c r="K34" s="184"/>
    </row>
    <row r="35" spans="1:11" ht="18" customHeight="1" thickBot="1">
      <c r="A35" s="182" t="s">
        <v>16</v>
      </c>
      <c r="B35" s="185" t="s">
        <v>156</v>
      </c>
      <c r="C35" s="109">
        <v>2017</v>
      </c>
      <c r="D35" s="110">
        <f>I35</f>
        <v>13.1</v>
      </c>
      <c r="E35" s="111"/>
      <c r="F35" s="111"/>
      <c r="G35" s="111"/>
      <c r="H35" s="111"/>
      <c r="I35" s="110">
        <f>'подпр Прав культ'!I86</f>
        <v>13.1</v>
      </c>
      <c r="J35" s="111"/>
      <c r="K35" s="182" t="s">
        <v>10</v>
      </c>
    </row>
    <row r="36" spans="1:11" ht="24" customHeight="1" thickBot="1">
      <c r="A36" s="183"/>
      <c r="B36" s="186"/>
      <c r="C36" s="109">
        <v>2018</v>
      </c>
      <c r="D36" s="110">
        <f>H36+I36</f>
        <v>7.25</v>
      </c>
      <c r="E36" s="111"/>
      <c r="F36" s="111"/>
      <c r="G36" s="111"/>
      <c r="H36" s="111"/>
      <c r="I36" s="110">
        <f>'подпр Прав культ'!I87</f>
        <v>7.25</v>
      </c>
      <c r="J36" s="111"/>
      <c r="K36" s="183"/>
    </row>
    <row r="37" spans="1:11" ht="15.75" thickBot="1">
      <c r="A37" s="183"/>
      <c r="B37" s="186"/>
      <c r="C37" s="109">
        <v>2019</v>
      </c>
      <c r="D37" s="110">
        <f>'подпр Прав культ'!I88</f>
        <v>13.1</v>
      </c>
      <c r="E37" s="111"/>
      <c r="F37" s="111"/>
      <c r="G37" s="111"/>
      <c r="H37" s="111"/>
      <c r="I37" s="110">
        <f>D37</f>
        <v>13.1</v>
      </c>
      <c r="J37" s="111"/>
      <c r="K37" s="183"/>
    </row>
    <row r="38" spans="1:11" ht="18" customHeight="1" thickBot="1">
      <c r="A38" s="183"/>
      <c r="B38" s="186"/>
      <c r="C38" s="109">
        <v>2020</v>
      </c>
      <c r="D38" s="110">
        <f>'подпр Прав культ'!I89</f>
        <v>13.100000000000001</v>
      </c>
      <c r="E38" s="111"/>
      <c r="F38" s="111"/>
      <c r="G38" s="111"/>
      <c r="H38" s="111"/>
      <c r="I38" s="110">
        <f>'подпр Прав культ'!I89</f>
        <v>13.100000000000001</v>
      </c>
      <c r="J38" s="111"/>
      <c r="K38" s="183"/>
    </row>
    <row r="39" spans="1:11" ht="18" customHeight="1" thickBot="1">
      <c r="A39" s="183"/>
      <c r="B39" s="186"/>
      <c r="C39" s="109">
        <v>2021</v>
      </c>
      <c r="D39" s="110">
        <f>I39</f>
        <v>11.600000000000001</v>
      </c>
      <c r="E39" s="111"/>
      <c r="F39" s="111"/>
      <c r="G39" s="111"/>
      <c r="H39" s="111"/>
      <c r="I39" s="110">
        <f>'подпр Прав культ'!I90</f>
        <v>11.600000000000001</v>
      </c>
      <c r="J39" s="111"/>
      <c r="K39" s="183"/>
    </row>
    <row r="40" spans="1:11" ht="18" customHeight="1" thickBot="1">
      <c r="A40" s="183"/>
      <c r="B40" s="187"/>
      <c r="C40" s="109">
        <v>2022</v>
      </c>
      <c r="D40" s="110">
        <f>I40</f>
        <v>11.6</v>
      </c>
      <c r="E40" s="111"/>
      <c r="F40" s="111"/>
      <c r="G40" s="111"/>
      <c r="H40" s="111"/>
      <c r="I40" s="110">
        <f>'подпр Прав культ'!I91</f>
        <v>11.6</v>
      </c>
      <c r="J40" s="111"/>
      <c r="K40" s="183"/>
    </row>
    <row r="41" spans="1:11" ht="16.5" customHeight="1" thickBot="1">
      <c r="A41" s="184"/>
      <c r="B41" s="171" t="s">
        <v>15</v>
      </c>
      <c r="C41" s="172" t="s">
        <v>296</v>
      </c>
      <c r="D41" s="111">
        <f>SUM(D35:D40)</f>
        <v>69.75</v>
      </c>
      <c r="E41" s="111"/>
      <c r="F41" s="111"/>
      <c r="G41" s="111"/>
      <c r="H41" s="111"/>
      <c r="I41" s="111">
        <f>SUM(I35:I40)</f>
        <v>69.75</v>
      </c>
      <c r="J41" s="111"/>
      <c r="K41" s="184"/>
    </row>
  </sheetData>
  <sheetProtection/>
  <mergeCells count="29">
    <mergeCell ref="K14:K20"/>
    <mergeCell ref="F9:I9"/>
    <mergeCell ref="J8:J12"/>
    <mergeCell ref="A8:A10"/>
    <mergeCell ref="J4:L4"/>
    <mergeCell ref="J3:L3"/>
    <mergeCell ref="K5:L5"/>
    <mergeCell ref="I10:I12"/>
    <mergeCell ref="F10:H10"/>
    <mergeCell ref="F11:F12"/>
    <mergeCell ref="K1:L1"/>
    <mergeCell ref="K8:K10"/>
    <mergeCell ref="E8:I8"/>
    <mergeCell ref="E9:E12"/>
    <mergeCell ref="K35:K41"/>
    <mergeCell ref="K21:K27"/>
    <mergeCell ref="K28:K34"/>
    <mergeCell ref="A2:L2"/>
    <mergeCell ref="A14:A20"/>
    <mergeCell ref="A21:A27"/>
    <mergeCell ref="G11:H11"/>
    <mergeCell ref="A28:A34"/>
    <mergeCell ref="A35:A41"/>
    <mergeCell ref="B14:B19"/>
    <mergeCell ref="C8:C10"/>
    <mergeCell ref="B21:B26"/>
    <mergeCell ref="B28:B33"/>
    <mergeCell ref="B35:B40"/>
    <mergeCell ref="B8:B10"/>
  </mergeCells>
  <printOptions/>
  <pageMargins left="0.7086614173228347" right="0.7086614173228347" top="0.37" bottom="0.7480314960629921" header="0.31496062992125984" footer="0.31496062992125984"/>
  <pageSetup fitToHeight="7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8"/>
  <sheetViews>
    <sheetView zoomScaleSheetLayoutView="100" zoomScalePageLayoutView="0" workbookViewId="0" topLeftCell="A415">
      <selection activeCell="I434" sqref="I434"/>
    </sheetView>
  </sheetViews>
  <sheetFormatPr defaultColWidth="9.140625" defaultRowHeight="15"/>
  <cols>
    <col min="1" max="1" width="12.421875" style="0" bestFit="1" customWidth="1"/>
    <col min="2" max="2" width="35.7109375" style="0" customWidth="1"/>
    <col min="3" max="3" width="11.421875" style="0" bestFit="1" customWidth="1"/>
    <col min="4" max="4" width="22.140625" style="4" customWidth="1"/>
    <col min="5" max="5" width="11.7109375" style="0" bestFit="1" customWidth="1"/>
    <col min="6" max="6" width="18.28125" style="0" customWidth="1"/>
    <col min="7" max="7" width="11.57421875" style="0" customWidth="1"/>
    <col min="8" max="8" width="17.421875" style="12" customWidth="1"/>
    <col min="9" max="9" width="17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3.28125" style="0" customWidth="1"/>
  </cols>
  <sheetData>
    <row r="1" ht="14.25">
      <c r="K1" s="136"/>
    </row>
    <row r="2" spans="1:23" ht="14.25">
      <c r="A2" s="112"/>
      <c r="B2" s="112"/>
      <c r="C2" s="113"/>
      <c r="D2" s="113"/>
      <c r="E2" s="113"/>
      <c r="F2" s="113"/>
      <c r="G2" s="113"/>
      <c r="H2" s="113"/>
      <c r="I2" s="113"/>
      <c r="J2" s="113"/>
      <c r="K2" s="304" t="s">
        <v>309</v>
      </c>
      <c r="L2" s="304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4.25">
      <c r="A3" s="112"/>
      <c r="B3" s="112"/>
      <c r="C3" s="113"/>
      <c r="D3" s="113"/>
      <c r="E3" s="113"/>
      <c r="F3" s="113"/>
      <c r="G3" s="113"/>
      <c r="H3" s="113"/>
      <c r="I3" s="113"/>
      <c r="J3" s="113"/>
      <c r="K3" s="304" t="s">
        <v>312</v>
      </c>
      <c r="L3" s="304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304" t="s">
        <v>311</v>
      </c>
      <c r="L4" s="304"/>
      <c r="M4" s="9"/>
      <c r="N4" s="6"/>
      <c r="O4" s="6"/>
      <c r="P4" s="6"/>
      <c r="Q4" s="6"/>
      <c r="R4" s="6"/>
      <c r="S4" s="6"/>
      <c r="T4" s="6"/>
      <c r="U4" s="6"/>
      <c r="V4" s="6"/>
      <c r="W4" s="6"/>
    </row>
    <row r="5" spans="1:12" ht="14.25">
      <c r="A5" s="115"/>
      <c r="B5" s="115"/>
      <c r="C5" s="115"/>
      <c r="D5" s="116"/>
      <c r="E5" s="115"/>
      <c r="F5" s="115"/>
      <c r="G5" s="115"/>
      <c r="H5" s="117"/>
      <c r="I5" s="115"/>
      <c r="J5" s="115"/>
      <c r="K5" s="113"/>
      <c r="L5" s="113"/>
    </row>
    <row r="6" spans="1:12" ht="14.25">
      <c r="A6" s="115"/>
      <c r="B6" s="115"/>
      <c r="C6" s="115"/>
      <c r="D6" s="116"/>
      <c r="E6" s="115"/>
      <c r="F6" s="115"/>
      <c r="G6" s="115"/>
      <c r="H6" s="117"/>
      <c r="I6" s="115"/>
      <c r="J6" s="115"/>
      <c r="K6" s="113"/>
      <c r="L6" s="113"/>
    </row>
    <row r="7" spans="1:12" ht="15" customHeight="1">
      <c r="A7" s="273" t="s">
        <v>169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</row>
    <row r="8" spans="1:12" ht="14.25">
      <c r="A8" s="270" t="s">
        <v>18</v>
      </c>
      <c r="B8" s="270" t="s">
        <v>19</v>
      </c>
      <c r="C8" s="270" t="s">
        <v>2</v>
      </c>
      <c r="D8" s="274" t="s">
        <v>20</v>
      </c>
      <c r="E8" s="270" t="s">
        <v>21</v>
      </c>
      <c r="F8" s="270"/>
      <c r="G8" s="270"/>
      <c r="H8" s="279"/>
      <c r="I8" s="279"/>
      <c r="J8" s="269" t="s">
        <v>23</v>
      </c>
      <c r="K8" s="269" t="s">
        <v>82</v>
      </c>
      <c r="L8" s="269" t="s">
        <v>80</v>
      </c>
    </row>
    <row r="9" spans="1:12" ht="14.25" customHeight="1">
      <c r="A9" s="270"/>
      <c r="B9" s="270"/>
      <c r="C9" s="270"/>
      <c r="D9" s="274"/>
      <c r="E9" s="156"/>
      <c r="F9" s="270" t="s">
        <v>6</v>
      </c>
      <c r="G9" s="270"/>
      <c r="H9" s="270"/>
      <c r="I9" s="270"/>
      <c r="J9" s="269"/>
      <c r="K9" s="269"/>
      <c r="L9" s="269"/>
    </row>
    <row r="10" spans="1:12" ht="34.5" customHeight="1">
      <c r="A10" s="270"/>
      <c r="B10" s="270"/>
      <c r="C10" s="270"/>
      <c r="D10" s="274"/>
      <c r="E10" s="270" t="s">
        <v>22</v>
      </c>
      <c r="F10" s="270" t="s">
        <v>24</v>
      </c>
      <c r="G10" s="270"/>
      <c r="H10" s="270"/>
      <c r="I10" s="270" t="s">
        <v>25</v>
      </c>
      <c r="J10" s="275"/>
      <c r="K10" s="269"/>
      <c r="L10" s="269"/>
    </row>
    <row r="11" spans="1:12" ht="34.5" customHeight="1">
      <c r="A11" s="270"/>
      <c r="B11" s="270"/>
      <c r="C11" s="270"/>
      <c r="D11" s="274"/>
      <c r="E11" s="270"/>
      <c r="F11" s="270" t="s">
        <v>203</v>
      </c>
      <c r="G11" s="270" t="s">
        <v>204</v>
      </c>
      <c r="H11" s="270"/>
      <c r="I11" s="270"/>
      <c r="J11" s="275"/>
      <c r="K11" s="269"/>
      <c r="L11" s="269"/>
    </row>
    <row r="12" spans="1:12" ht="78" customHeight="1">
      <c r="A12" s="270"/>
      <c r="B12" s="270"/>
      <c r="C12" s="270"/>
      <c r="D12" s="274"/>
      <c r="E12" s="270"/>
      <c r="F12" s="270"/>
      <c r="G12" s="156" t="s">
        <v>205</v>
      </c>
      <c r="H12" s="118" t="s">
        <v>206</v>
      </c>
      <c r="I12" s="270"/>
      <c r="J12" s="275"/>
      <c r="K12" s="269"/>
      <c r="L12" s="269"/>
    </row>
    <row r="13" spans="1:12" ht="14.25">
      <c r="A13" s="156">
        <v>1</v>
      </c>
      <c r="B13" s="156">
        <v>2</v>
      </c>
      <c r="C13" s="156">
        <v>3</v>
      </c>
      <c r="D13" s="119">
        <v>4</v>
      </c>
      <c r="E13" s="156">
        <v>5</v>
      </c>
      <c r="F13" s="156">
        <v>6</v>
      </c>
      <c r="G13" s="156">
        <v>7</v>
      </c>
      <c r="H13" s="96">
        <v>8</v>
      </c>
      <c r="I13" s="156">
        <v>9</v>
      </c>
      <c r="J13" s="156">
        <v>10</v>
      </c>
      <c r="K13" s="156">
        <v>11</v>
      </c>
      <c r="L13" s="156">
        <v>12</v>
      </c>
    </row>
    <row r="14" spans="1:12" ht="14.25">
      <c r="A14" s="283" t="s">
        <v>95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</row>
    <row r="15" spans="1:12" ht="14.25">
      <c r="A15" s="33" t="s">
        <v>150</v>
      </c>
      <c r="B15" s="271" t="s">
        <v>144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</row>
    <row r="16" spans="1:12" ht="14.25">
      <c r="A16" s="33" t="s">
        <v>149</v>
      </c>
      <c r="B16" s="271" t="s">
        <v>145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</row>
    <row r="17" spans="1:12" ht="14.25" customHeight="1">
      <c r="A17" s="208" t="s">
        <v>12</v>
      </c>
      <c r="B17" s="208" t="s">
        <v>26</v>
      </c>
      <c r="C17" s="161">
        <v>2017</v>
      </c>
      <c r="D17" s="65">
        <f>I17</f>
        <v>50</v>
      </c>
      <c r="E17" s="65">
        <v>0</v>
      </c>
      <c r="F17" s="65"/>
      <c r="G17" s="65"/>
      <c r="H17" s="65">
        <v>0</v>
      </c>
      <c r="I17" s="65">
        <v>50</v>
      </c>
      <c r="J17" s="66"/>
      <c r="K17" s="208" t="s">
        <v>27</v>
      </c>
      <c r="L17" s="208" t="s">
        <v>28</v>
      </c>
    </row>
    <row r="18" spans="1:12" ht="22.5" customHeight="1">
      <c r="A18" s="209"/>
      <c r="B18" s="209"/>
      <c r="C18" s="160">
        <v>2018</v>
      </c>
      <c r="D18" s="163">
        <f>H18+I18</f>
        <v>50</v>
      </c>
      <c r="E18" s="163">
        <v>0</v>
      </c>
      <c r="F18" s="163"/>
      <c r="G18" s="163"/>
      <c r="H18" s="163">
        <v>0</v>
      </c>
      <c r="I18" s="163">
        <v>50</v>
      </c>
      <c r="J18" s="66"/>
      <c r="K18" s="209"/>
      <c r="L18" s="209"/>
    </row>
    <row r="19" spans="1:12" ht="14.25">
      <c r="A19" s="209"/>
      <c r="B19" s="209"/>
      <c r="C19" s="173">
        <v>2019</v>
      </c>
      <c r="D19" s="174">
        <f>H19+I19</f>
        <v>52.52636</v>
      </c>
      <c r="E19" s="174">
        <v>0</v>
      </c>
      <c r="F19" s="174"/>
      <c r="G19" s="174"/>
      <c r="H19" s="174">
        <v>0</v>
      </c>
      <c r="I19" s="174">
        <f>50+2.52636</f>
        <v>52.52636</v>
      </c>
      <c r="J19" s="120"/>
      <c r="K19" s="209"/>
      <c r="L19" s="209"/>
    </row>
    <row r="20" spans="1:12" ht="14.25">
      <c r="A20" s="209"/>
      <c r="B20" s="209"/>
      <c r="C20" s="160">
        <v>2020</v>
      </c>
      <c r="D20" s="163">
        <f>H20+I20</f>
        <v>0</v>
      </c>
      <c r="E20" s="163">
        <v>0</v>
      </c>
      <c r="F20" s="163"/>
      <c r="G20" s="163"/>
      <c r="H20" s="163">
        <v>0</v>
      </c>
      <c r="I20" s="163">
        <v>0</v>
      </c>
      <c r="J20" s="66"/>
      <c r="K20" s="209"/>
      <c r="L20" s="209"/>
    </row>
    <row r="21" spans="1:12" ht="14.25">
      <c r="A21" s="209"/>
      <c r="B21" s="209"/>
      <c r="C21" s="160">
        <v>2021</v>
      </c>
      <c r="D21" s="163">
        <f>E21+F21+I21+J21</f>
        <v>0</v>
      </c>
      <c r="E21" s="163"/>
      <c r="F21" s="163"/>
      <c r="G21" s="163"/>
      <c r="H21" s="163">
        <v>0</v>
      </c>
      <c r="I21" s="163">
        <v>0</v>
      </c>
      <c r="J21" s="66"/>
      <c r="K21" s="209"/>
      <c r="L21" s="209"/>
    </row>
    <row r="22" spans="1:12" ht="14.25">
      <c r="A22" s="210"/>
      <c r="B22" s="210"/>
      <c r="C22" s="160">
        <v>2022</v>
      </c>
      <c r="D22" s="163">
        <f>I22</f>
        <v>0</v>
      </c>
      <c r="E22" s="163"/>
      <c r="F22" s="163"/>
      <c r="G22" s="163"/>
      <c r="H22" s="163"/>
      <c r="I22" s="163">
        <v>0</v>
      </c>
      <c r="J22" s="66"/>
      <c r="K22" s="210"/>
      <c r="L22" s="209"/>
    </row>
    <row r="23" spans="1:12" ht="18.75" customHeight="1">
      <c r="A23" s="208" t="s">
        <v>14</v>
      </c>
      <c r="B23" s="163"/>
      <c r="C23" s="160">
        <v>2017</v>
      </c>
      <c r="D23" s="163">
        <f>I23</f>
        <v>44.99</v>
      </c>
      <c r="E23" s="163">
        <v>0</v>
      </c>
      <c r="F23" s="163"/>
      <c r="G23" s="163"/>
      <c r="H23" s="163">
        <v>0</v>
      </c>
      <c r="I23" s="163">
        <v>44.99</v>
      </c>
      <c r="J23" s="66"/>
      <c r="K23" s="208" t="s">
        <v>165</v>
      </c>
      <c r="L23" s="209"/>
    </row>
    <row r="24" spans="1:12" ht="36" customHeight="1">
      <c r="A24" s="209"/>
      <c r="B24" s="166" t="s">
        <v>29</v>
      </c>
      <c r="C24" s="93">
        <v>2018</v>
      </c>
      <c r="D24" s="163">
        <f>SUM(E24:I24)</f>
        <v>20</v>
      </c>
      <c r="E24" s="163">
        <v>0</v>
      </c>
      <c r="F24" s="163"/>
      <c r="G24" s="163"/>
      <c r="H24" s="163">
        <v>0</v>
      </c>
      <c r="I24" s="163">
        <v>20</v>
      </c>
      <c r="J24" s="166"/>
      <c r="K24" s="209"/>
      <c r="L24" s="209"/>
    </row>
    <row r="25" spans="1:12" ht="44.25" customHeight="1">
      <c r="A25" s="209"/>
      <c r="B25" s="166" t="s">
        <v>273</v>
      </c>
      <c r="C25" s="158">
        <v>2019</v>
      </c>
      <c r="D25" s="144">
        <f>SUM(E25:I25)</f>
        <v>20</v>
      </c>
      <c r="E25" s="144">
        <v>0</v>
      </c>
      <c r="F25" s="144"/>
      <c r="G25" s="144"/>
      <c r="H25" s="144">
        <v>0</v>
      </c>
      <c r="I25" s="144">
        <v>20</v>
      </c>
      <c r="J25" s="121"/>
      <c r="K25" s="209"/>
      <c r="L25" s="209"/>
    </row>
    <row r="26" spans="1:12" ht="21" customHeight="1">
      <c r="A26" s="209"/>
      <c r="B26" s="254" t="s">
        <v>30</v>
      </c>
      <c r="C26" s="276">
        <v>2020</v>
      </c>
      <c r="D26" s="282">
        <f>SUM(E26:I27)</f>
        <v>20</v>
      </c>
      <c r="E26" s="282">
        <v>0</v>
      </c>
      <c r="F26" s="282"/>
      <c r="G26" s="282"/>
      <c r="H26" s="282">
        <v>0</v>
      </c>
      <c r="I26" s="282">
        <v>20</v>
      </c>
      <c r="J26" s="294"/>
      <c r="K26" s="209"/>
      <c r="L26" s="209"/>
    </row>
    <row r="27" spans="1:12" ht="12.75" customHeight="1">
      <c r="A27" s="209"/>
      <c r="B27" s="255"/>
      <c r="C27" s="276"/>
      <c r="D27" s="282"/>
      <c r="E27" s="282"/>
      <c r="F27" s="282"/>
      <c r="G27" s="282"/>
      <c r="H27" s="282"/>
      <c r="I27" s="282"/>
      <c r="J27" s="294"/>
      <c r="K27" s="209"/>
      <c r="L27" s="209"/>
    </row>
    <row r="28" spans="1:12" ht="21" customHeight="1">
      <c r="A28" s="209"/>
      <c r="B28" s="255"/>
      <c r="C28" s="160">
        <v>2021</v>
      </c>
      <c r="D28" s="163">
        <f>E28+F28+I28+J28</f>
        <v>0</v>
      </c>
      <c r="E28" s="163"/>
      <c r="F28" s="163"/>
      <c r="G28" s="163"/>
      <c r="H28" s="163">
        <v>0</v>
      </c>
      <c r="I28" s="163">
        <v>0</v>
      </c>
      <c r="J28" s="166"/>
      <c r="K28" s="209"/>
      <c r="L28" s="209"/>
    </row>
    <row r="29" spans="1:12" ht="21" customHeight="1">
      <c r="A29" s="210"/>
      <c r="B29" s="256"/>
      <c r="C29" s="160">
        <v>2022</v>
      </c>
      <c r="D29" s="163">
        <f>I29</f>
        <v>0</v>
      </c>
      <c r="E29" s="163"/>
      <c r="F29" s="163"/>
      <c r="G29" s="163"/>
      <c r="H29" s="163"/>
      <c r="I29" s="163">
        <v>0</v>
      </c>
      <c r="J29" s="166"/>
      <c r="K29" s="210"/>
      <c r="L29" s="210"/>
    </row>
    <row r="30" spans="1:12" ht="27" customHeight="1">
      <c r="A30" s="208" t="s">
        <v>16</v>
      </c>
      <c r="B30" s="254" t="s">
        <v>31</v>
      </c>
      <c r="C30" s="160">
        <v>2017</v>
      </c>
      <c r="D30" s="163">
        <f>I30</f>
        <v>7</v>
      </c>
      <c r="E30" s="163">
        <v>0</v>
      </c>
      <c r="F30" s="163"/>
      <c r="G30" s="163"/>
      <c r="H30" s="163">
        <v>0</v>
      </c>
      <c r="I30" s="163">
        <v>7</v>
      </c>
      <c r="J30" s="166"/>
      <c r="K30" s="208" t="s">
        <v>32</v>
      </c>
      <c r="L30" s="208" t="s">
        <v>33</v>
      </c>
    </row>
    <row r="31" spans="1:12" ht="22.5" customHeight="1">
      <c r="A31" s="209"/>
      <c r="B31" s="255"/>
      <c r="C31" s="160">
        <v>2018</v>
      </c>
      <c r="D31" s="163">
        <f>E31+H31+I31</f>
        <v>0</v>
      </c>
      <c r="E31" s="163">
        <v>0</v>
      </c>
      <c r="F31" s="163"/>
      <c r="G31" s="163"/>
      <c r="H31" s="163">
        <v>0</v>
      </c>
      <c r="I31" s="163">
        <v>0</v>
      </c>
      <c r="J31" s="68"/>
      <c r="K31" s="209"/>
      <c r="L31" s="209"/>
    </row>
    <row r="32" spans="1:12" ht="14.25">
      <c r="A32" s="209"/>
      <c r="B32" s="255"/>
      <c r="C32" s="160">
        <v>2019</v>
      </c>
      <c r="D32" s="163">
        <f>SUM(E32:I32)</f>
        <v>0</v>
      </c>
      <c r="E32" s="163">
        <v>0</v>
      </c>
      <c r="F32" s="163"/>
      <c r="G32" s="163"/>
      <c r="H32" s="163">
        <v>0</v>
      </c>
      <c r="I32" s="163">
        <v>0</v>
      </c>
      <c r="J32" s="68"/>
      <c r="K32" s="209"/>
      <c r="L32" s="209"/>
    </row>
    <row r="33" spans="1:12" ht="27" customHeight="1">
      <c r="A33" s="209"/>
      <c r="B33" s="255"/>
      <c r="C33" s="160">
        <v>2020</v>
      </c>
      <c r="D33" s="163">
        <f>I33</f>
        <v>3</v>
      </c>
      <c r="E33" s="163">
        <v>0</v>
      </c>
      <c r="F33" s="163"/>
      <c r="G33" s="163"/>
      <c r="H33" s="163">
        <v>0</v>
      </c>
      <c r="I33" s="163">
        <v>3</v>
      </c>
      <c r="J33" s="68"/>
      <c r="K33" s="209"/>
      <c r="L33" s="209"/>
    </row>
    <row r="34" spans="1:12" ht="27" customHeight="1">
      <c r="A34" s="209"/>
      <c r="B34" s="255"/>
      <c r="C34" s="160">
        <v>2021</v>
      </c>
      <c r="D34" s="163">
        <f>E34+F34+I34+J34</f>
        <v>0</v>
      </c>
      <c r="E34" s="163">
        <v>0</v>
      </c>
      <c r="F34" s="163"/>
      <c r="G34" s="163"/>
      <c r="H34" s="163">
        <v>0</v>
      </c>
      <c r="I34" s="163">
        <v>0</v>
      </c>
      <c r="J34" s="68"/>
      <c r="K34" s="209"/>
      <c r="L34" s="209"/>
    </row>
    <row r="35" spans="1:12" ht="27" customHeight="1">
      <c r="A35" s="210"/>
      <c r="B35" s="256"/>
      <c r="C35" s="160">
        <v>2022</v>
      </c>
      <c r="D35" s="163">
        <f>I35</f>
        <v>0</v>
      </c>
      <c r="E35" s="163"/>
      <c r="F35" s="163"/>
      <c r="G35" s="163"/>
      <c r="H35" s="163"/>
      <c r="I35" s="163">
        <v>0</v>
      </c>
      <c r="J35" s="68"/>
      <c r="K35" s="210"/>
      <c r="L35" s="210"/>
    </row>
    <row r="36" spans="1:12" ht="27" customHeight="1">
      <c r="A36" s="208" t="s">
        <v>101</v>
      </c>
      <c r="B36" s="254" t="s">
        <v>62</v>
      </c>
      <c r="C36" s="160">
        <v>2017</v>
      </c>
      <c r="D36" s="163">
        <f>I36</f>
        <v>8</v>
      </c>
      <c r="E36" s="163">
        <v>0</v>
      </c>
      <c r="F36" s="163"/>
      <c r="G36" s="163"/>
      <c r="H36" s="163">
        <v>0</v>
      </c>
      <c r="I36" s="163">
        <v>8</v>
      </c>
      <c r="J36" s="68"/>
      <c r="K36" s="208" t="s">
        <v>34</v>
      </c>
      <c r="L36" s="208" t="s">
        <v>35</v>
      </c>
    </row>
    <row r="37" spans="1:12" ht="21" customHeight="1">
      <c r="A37" s="209"/>
      <c r="B37" s="255"/>
      <c r="C37" s="160">
        <v>2018</v>
      </c>
      <c r="D37" s="163">
        <f>E37+H37+I37</f>
        <v>0</v>
      </c>
      <c r="E37" s="163">
        <v>0</v>
      </c>
      <c r="F37" s="163"/>
      <c r="G37" s="163"/>
      <c r="H37" s="163">
        <v>0</v>
      </c>
      <c r="I37" s="163">
        <v>0</v>
      </c>
      <c r="J37" s="166"/>
      <c r="K37" s="209"/>
      <c r="L37" s="209"/>
    </row>
    <row r="38" spans="1:12" ht="14.25">
      <c r="A38" s="209"/>
      <c r="B38" s="255"/>
      <c r="C38" s="160">
        <v>2019</v>
      </c>
      <c r="D38" s="163">
        <f>SUM(E38:I38)</f>
        <v>0</v>
      </c>
      <c r="E38" s="163">
        <v>0</v>
      </c>
      <c r="F38" s="163"/>
      <c r="G38" s="163"/>
      <c r="H38" s="163">
        <v>0</v>
      </c>
      <c r="I38" s="163">
        <v>0</v>
      </c>
      <c r="J38" s="166"/>
      <c r="K38" s="209"/>
      <c r="L38" s="209"/>
    </row>
    <row r="39" spans="1:12" ht="14.25">
      <c r="A39" s="209"/>
      <c r="B39" s="255"/>
      <c r="C39" s="160">
        <v>2020</v>
      </c>
      <c r="D39" s="163">
        <f>I39</f>
        <v>5</v>
      </c>
      <c r="E39" s="163">
        <v>0</v>
      </c>
      <c r="F39" s="163"/>
      <c r="G39" s="163"/>
      <c r="H39" s="163">
        <v>0</v>
      </c>
      <c r="I39" s="163">
        <v>5</v>
      </c>
      <c r="J39" s="166"/>
      <c r="K39" s="209"/>
      <c r="L39" s="209"/>
    </row>
    <row r="40" spans="1:12" ht="14.25">
      <c r="A40" s="209"/>
      <c r="B40" s="255"/>
      <c r="C40" s="160">
        <v>2021</v>
      </c>
      <c r="D40" s="163">
        <f>E40+F40+I40+J40</f>
        <v>0</v>
      </c>
      <c r="E40" s="163">
        <v>0</v>
      </c>
      <c r="F40" s="163"/>
      <c r="G40" s="163"/>
      <c r="H40" s="163">
        <v>0</v>
      </c>
      <c r="I40" s="163">
        <v>0</v>
      </c>
      <c r="J40" s="166"/>
      <c r="K40" s="209"/>
      <c r="L40" s="209"/>
    </row>
    <row r="41" spans="1:12" ht="14.25">
      <c r="A41" s="210"/>
      <c r="B41" s="256"/>
      <c r="C41" s="160">
        <v>2022</v>
      </c>
      <c r="D41" s="163">
        <f>I41</f>
        <v>0</v>
      </c>
      <c r="E41" s="163"/>
      <c r="F41" s="163"/>
      <c r="G41" s="163"/>
      <c r="H41" s="163"/>
      <c r="I41" s="163">
        <v>0</v>
      </c>
      <c r="J41" s="166"/>
      <c r="K41" s="210"/>
      <c r="L41" s="210"/>
    </row>
    <row r="42" spans="1:12" ht="14.25" customHeight="1">
      <c r="A42" s="208" t="s">
        <v>102</v>
      </c>
      <c r="B42" s="254" t="s">
        <v>36</v>
      </c>
      <c r="C42" s="272">
        <v>2017</v>
      </c>
      <c r="D42" s="163">
        <f>I42</f>
        <v>115.476</v>
      </c>
      <c r="E42" s="163">
        <v>0</v>
      </c>
      <c r="F42" s="163"/>
      <c r="G42" s="163"/>
      <c r="H42" s="163">
        <v>0</v>
      </c>
      <c r="I42" s="163">
        <v>115.476</v>
      </c>
      <c r="J42" s="166"/>
      <c r="K42" s="163" t="s">
        <v>55</v>
      </c>
      <c r="L42" s="208" t="s">
        <v>37</v>
      </c>
    </row>
    <row r="43" spans="1:12" ht="14.25">
      <c r="A43" s="209"/>
      <c r="B43" s="255"/>
      <c r="C43" s="272"/>
      <c r="D43" s="163">
        <f>I43</f>
        <v>165.0305</v>
      </c>
      <c r="E43" s="163">
        <v>0</v>
      </c>
      <c r="F43" s="163"/>
      <c r="G43" s="163"/>
      <c r="H43" s="163">
        <v>0</v>
      </c>
      <c r="I43" s="163">
        <v>165.0305</v>
      </c>
      <c r="J43" s="166"/>
      <c r="K43" s="163" t="s">
        <v>56</v>
      </c>
      <c r="L43" s="209"/>
    </row>
    <row r="44" spans="1:12" ht="18" customHeight="1">
      <c r="A44" s="209"/>
      <c r="B44" s="255"/>
      <c r="C44" s="272"/>
      <c r="D44" s="163">
        <f aca="true" t="shared" si="0" ref="D44:D54">I44</f>
        <v>230.5</v>
      </c>
      <c r="E44" s="163">
        <v>0</v>
      </c>
      <c r="F44" s="163"/>
      <c r="G44" s="163"/>
      <c r="H44" s="163">
        <v>0</v>
      </c>
      <c r="I44" s="163">
        <v>230.5</v>
      </c>
      <c r="J44" s="166"/>
      <c r="K44" s="163" t="s">
        <v>34</v>
      </c>
      <c r="L44" s="209"/>
    </row>
    <row r="45" spans="1:12" ht="33" customHeight="1">
      <c r="A45" s="209"/>
      <c r="B45" s="255"/>
      <c r="C45" s="160">
        <v>2018</v>
      </c>
      <c r="D45" s="163">
        <f t="shared" si="0"/>
        <v>545.1769999999999</v>
      </c>
      <c r="E45" s="163">
        <v>0</v>
      </c>
      <c r="F45" s="163"/>
      <c r="G45" s="163"/>
      <c r="H45" s="163">
        <v>0</v>
      </c>
      <c r="I45" s="163">
        <f>546.776-1.599</f>
        <v>545.1769999999999</v>
      </c>
      <c r="J45" s="68"/>
      <c r="K45" s="165" t="s">
        <v>34</v>
      </c>
      <c r="L45" s="209"/>
    </row>
    <row r="46" spans="1:12" ht="21" customHeight="1">
      <c r="A46" s="209"/>
      <c r="B46" s="255"/>
      <c r="C46" s="160">
        <v>2019</v>
      </c>
      <c r="D46" s="163">
        <f t="shared" si="0"/>
        <v>257.23976</v>
      </c>
      <c r="E46" s="163">
        <v>0</v>
      </c>
      <c r="F46" s="163"/>
      <c r="G46" s="163"/>
      <c r="H46" s="163">
        <v>0</v>
      </c>
      <c r="I46" s="163">
        <f>257.23976</f>
        <v>257.23976</v>
      </c>
      <c r="J46" s="122"/>
      <c r="K46" s="165" t="s">
        <v>32</v>
      </c>
      <c r="L46" s="209"/>
    </row>
    <row r="47" spans="1:12" ht="21" customHeight="1">
      <c r="A47" s="209"/>
      <c r="B47" s="255"/>
      <c r="C47" s="160">
        <v>2019</v>
      </c>
      <c r="D47" s="163">
        <f t="shared" si="0"/>
        <v>143.115</v>
      </c>
      <c r="E47" s="163">
        <v>0</v>
      </c>
      <c r="F47" s="163"/>
      <c r="G47" s="163"/>
      <c r="H47" s="163">
        <v>0</v>
      </c>
      <c r="I47" s="163">
        <v>143.115</v>
      </c>
      <c r="J47" s="122"/>
      <c r="K47" s="165" t="s">
        <v>258</v>
      </c>
      <c r="L47" s="209"/>
    </row>
    <row r="48" spans="1:12" ht="32.25" customHeight="1">
      <c r="A48" s="209"/>
      <c r="B48" s="255"/>
      <c r="C48" s="160">
        <v>2020</v>
      </c>
      <c r="D48" s="163">
        <f t="shared" si="0"/>
        <v>375.5</v>
      </c>
      <c r="E48" s="163">
        <v>0</v>
      </c>
      <c r="F48" s="163"/>
      <c r="G48" s="163"/>
      <c r="H48" s="163">
        <v>0</v>
      </c>
      <c r="I48" s="163">
        <f>476.5-101</f>
        <v>375.5</v>
      </c>
      <c r="J48" s="68"/>
      <c r="K48" s="165" t="s">
        <v>32</v>
      </c>
      <c r="L48" s="209"/>
    </row>
    <row r="49" spans="1:12" ht="32.25" customHeight="1">
      <c r="A49" s="209"/>
      <c r="B49" s="255"/>
      <c r="C49" s="160">
        <v>2021</v>
      </c>
      <c r="D49" s="163">
        <f>E49+F49+I49+J49</f>
        <v>30</v>
      </c>
      <c r="E49" s="163">
        <v>0</v>
      </c>
      <c r="F49" s="163"/>
      <c r="G49" s="163"/>
      <c r="H49" s="163">
        <v>0</v>
      </c>
      <c r="I49" s="163">
        <v>30</v>
      </c>
      <c r="J49" s="68"/>
      <c r="K49" s="208" t="s">
        <v>32</v>
      </c>
      <c r="L49" s="209"/>
    </row>
    <row r="50" spans="1:12" ht="32.25" customHeight="1">
      <c r="A50" s="210"/>
      <c r="B50" s="256"/>
      <c r="C50" s="160">
        <v>2022</v>
      </c>
      <c r="D50" s="163">
        <f>I50</f>
        <v>30</v>
      </c>
      <c r="E50" s="163"/>
      <c r="F50" s="163"/>
      <c r="G50" s="163"/>
      <c r="H50" s="163"/>
      <c r="I50" s="163">
        <v>30</v>
      </c>
      <c r="J50" s="68"/>
      <c r="K50" s="210"/>
      <c r="L50" s="210"/>
    </row>
    <row r="51" spans="1:12" ht="18.75" customHeight="1">
      <c r="A51" s="208" t="s">
        <v>103</v>
      </c>
      <c r="B51" s="254" t="s">
        <v>66</v>
      </c>
      <c r="C51" s="276">
        <v>2017</v>
      </c>
      <c r="D51" s="163">
        <f>I51</f>
        <v>56.559</v>
      </c>
      <c r="E51" s="163">
        <v>0</v>
      </c>
      <c r="F51" s="163"/>
      <c r="G51" s="163"/>
      <c r="H51" s="163">
        <v>0</v>
      </c>
      <c r="I51" s="163">
        <v>56.559</v>
      </c>
      <c r="J51" s="68"/>
      <c r="K51" s="165" t="s">
        <v>173</v>
      </c>
      <c r="L51" s="208" t="s">
        <v>38</v>
      </c>
    </row>
    <row r="52" spans="1:12" ht="25.5" customHeight="1">
      <c r="A52" s="209"/>
      <c r="B52" s="255"/>
      <c r="C52" s="276"/>
      <c r="D52" s="163">
        <f>I52</f>
        <v>35</v>
      </c>
      <c r="E52" s="163">
        <v>0</v>
      </c>
      <c r="F52" s="163"/>
      <c r="G52" s="163"/>
      <c r="H52" s="163">
        <v>0</v>
      </c>
      <c r="I52" s="163">
        <v>35</v>
      </c>
      <c r="J52" s="68"/>
      <c r="K52" s="165" t="s">
        <v>55</v>
      </c>
      <c r="L52" s="209"/>
    </row>
    <row r="53" spans="1:12" ht="29.25" customHeight="1">
      <c r="A53" s="209"/>
      <c r="B53" s="255"/>
      <c r="C53" s="276"/>
      <c r="D53" s="163">
        <f t="shared" si="0"/>
        <v>250</v>
      </c>
      <c r="E53" s="163">
        <v>0</v>
      </c>
      <c r="F53" s="163"/>
      <c r="G53" s="163"/>
      <c r="H53" s="163">
        <v>0</v>
      </c>
      <c r="I53" s="163">
        <v>250</v>
      </c>
      <c r="J53" s="68"/>
      <c r="K53" s="165" t="s">
        <v>172</v>
      </c>
      <c r="L53" s="209"/>
    </row>
    <row r="54" spans="1:12" ht="14.25">
      <c r="A54" s="209"/>
      <c r="B54" s="255"/>
      <c r="C54" s="276"/>
      <c r="D54" s="163">
        <f t="shared" si="0"/>
        <v>42</v>
      </c>
      <c r="E54" s="163">
        <v>0</v>
      </c>
      <c r="F54" s="163"/>
      <c r="G54" s="163"/>
      <c r="H54" s="163">
        <v>0</v>
      </c>
      <c r="I54" s="163">
        <v>42</v>
      </c>
      <c r="J54" s="68"/>
      <c r="K54" s="165" t="s">
        <v>167</v>
      </c>
      <c r="L54" s="209"/>
    </row>
    <row r="55" spans="1:13" ht="35.25" customHeight="1">
      <c r="A55" s="209"/>
      <c r="B55" s="255"/>
      <c r="C55" s="276">
        <v>2018</v>
      </c>
      <c r="D55" s="163">
        <f>E55+H55+I55</f>
        <v>277.231</v>
      </c>
      <c r="E55" s="163">
        <v>0</v>
      </c>
      <c r="F55" s="163"/>
      <c r="G55" s="163"/>
      <c r="H55" s="163">
        <v>0</v>
      </c>
      <c r="I55" s="163">
        <v>277.231</v>
      </c>
      <c r="J55" s="68"/>
      <c r="K55" s="165" t="s">
        <v>65</v>
      </c>
      <c r="L55" s="209"/>
      <c r="M55" t="s">
        <v>39</v>
      </c>
    </row>
    <row r="56" spans="1:12" ht="25.5" customHeight="1">
      <c r="A56" s="209"/>
      <c r="B56" s="255"/>
      <c r="C56" s="276"/>
      <c r="D56" s="163">
        <f>I56</f>
        <v>45.969</v>
      </c>
      <c r="E56" s="163">
        <v>0</v>
      </c>
      <c r="F56" s="163"/>
      <c r="G56" s="163"/>
      <c r="H56" s="163">
        <v>0</v>
      </c>
      <c r="I56" s="163">
        <v>45.969</v>
      </c>
      <c r="J56" s="68"/>
      <c r="K56" s="165" t="s">
        <v>173</v>
      </c>
      <c r="L56" s="209"/>
    </row>
    <row r="57" spans="1:12" ht="20.25" customHeight="1">
      <c r="A57" s="209"/>
      <c r="B57" s="255"/>
      <c r="C57" s="280"/>
      <c r="D57" s="163">
        <f>E57+H57+I57</f>
        <v>44.37</v>
      </c>
      <c r="E57" s="163">
        <v>0</v>
      </c>
      <c r="F57" s="163"/>
      <c r="G57" s="163"/>
      <c r="H57" s="163">
        <v>0</v>
      </c>
      <c r="I57" s="163">
        <v>44.37</v>
      </c>
      <c r="J57" s="68"/>
      <c r="K57" s="165" t="s">
        <v>167</v>
      </c>
      <c r="L57" s="209"/>
    </row>
    <row r="58" spans="1:12" ht="24.75" customHeight="1">
      <c r="A58" s="209"/>
      <c r="B58" s="255"/>
      <c r="C58" s="276">
        <v>2019</v>
      </c>
      <c r="D58" s="163">
        <f>SUM(E58:I58)</f>
        <v>150.46124</v>
      </c>
      <c r="E58" s="163">
        <v>0</v>
      </c>
      <c r="F58" s="163"/>
      <c r="G58" s="163"/>
      <c r="H58" s="163">
        <v>0</v>
      </c>
      <c r="I58" s="163">
        <v>150.46124</v>
      </c>
      <c r="J58" s="68"/>
      <c r="K58" s="165" t="s">
        <v>32</v>
      </c>
      <c r="L58" s="209"/>
    </row>
    <row r="59" spans="1:12" ht="24.75" customHeight="1">
      <c r="A59" s="209"/>
      <c r="B59" s="255"/>
      <c r="C59" s="276"/>
      <c r="D59" s="163">
        <f>I59</f>
        <v>70</v>
      </c>
      <c r="E59" s="163"/>
      <c r="F59" s="163"/>
      <c r="G59" s="163"/>
      <c r="H59" s="163"/>
      <c r="I59" s="163">
        <v>70</v>
      </c>
      <c r="J59" s="68"/>
      <c r="K59" s="165" t="s">
        <v>55</v>
      </c>
      <c r="L59" s="209"/>
    </row>
    <row r="60" spans="1:12" ht="19.5" customHeight="1">
      <c r="A60" s="209"/>
      <c r="B60" s="255"/>
      <c r="C60" s="280"/>
      <c r="D60" s="163">
        <f>E60+H60+I60</f>
        <v>49.188</v>
      </c>
      <c r="E60" s="163">
        <v>0</v>
      </c>
      <c r="F60" s="163"/>
      <c r="G60" s="163"/>
      <c r="H60" s="163">
        <v>0</v>
      </c>
      <c r="I60" s="163">
        <v>49.188</v>
      </c>
      <c r="J60" s="68"/>
      <c r="K60" s="165" t="s">
        <v>173</v>
      </c>
      <c r="L60" s="209"/>
    </row>
    <row r="61" spans="1:12" ht="26.25">
      <c r="A61" s="209"/>
      <c r="B61" s="255"/>
      <c r="C61" s="276">
        <v>2020</v>
      </c>
      <c r="D61" s="163">
        <f>I61</f>
        <v>240.5</v>
      </c>
      <c r="E61" s="163">
        <v>0</v>
      </c>
      <c r="F61" s="163"/>
      <c r="G61" s="163"/>
      <c r="H61" s="163">
        <v>0</v>
      </c>
      <c r="I61" s="163">
        <f>200.5+40</f>
        <v>240.5</v>
      </c>
      <c r="J61" s="68" t="s">
        <v>39</v>
      </c>
      <c r="K61" s="165" t="s">
        <v>32</v>
      </c>
      <c r="L61" s="209"/>
    </row>
    <row r="62" spans="1:12" ht="14.25">
      <c r="A62" s="209"/>
      <c r="B62" s="255"/>
      <c r="C62" s="276"/>
      <c r="D62" s="163">
        <f>E62+H62+I62</f>
        <v>0</v>
      </c>
      <c r="E62" s="163">
        <v>0</v>
      </c>
      <c r="F62" s="163"/>
      <c r="G62" s="163"/>
      <c r="H62" s="163">
        <v>0</v>
      </c>
      <c r="I62" s="163"/>
      <c r="J62" s="68"/>
      <c r="K62" s="165" t="s">
        <v>167</v>
      </c>
      <c r="L62" s="209"/>
    </row>
    <row r="63" spans="1:12" ht="14.25">
      <c r="A63" s="209"/>
      <c r="B63" s="255"/>
      <c r="C63" s="277">
        <v>2021</v>
      </c>
      <c r="D63" s="163">
        <f>I63</f>
        <v>0</v>
      </c>
      <c r="E63" s="163">
        <v>0</v>
      </c>
      <c r="F63" s="163"/>
      <c r="G63" s="163"/>
      <c r="H63" s="163">
        <v>0</v>
      </c>
      <c r="I63" s="163">
        <v>0</v>
      </c>
      <c r="J63" s="68"/>
      <c r="K63" s="165" t="s">
        <v>167</v>
      </c>
      <c r="L63" s="209"/>
    </row>
    <row r="64" spans="1:12" ht="25.5" customHeight="1">
      <c r="A64" s="209"/>
      <c r="B64" s="255"/>
      <c r="C64" s="278"/>
      <c r="D64" s="163">
        <f>E64+F64+I64+J64</f>
        <v>0</v>
      </c>
      <c r="E64" s="163">
        <v>0</v>
      </c>
      <c r="F64" s="163"/>
      <c r="G64" s="163"/>
      <c r="H64" s="163">
        <v>0</v>
      </c>
      <c r="I64" s="163">
        <v>0</v>
      </c>
      <c r="J64" s="68"/>
      <c r="K64" s="208" t="s">
        <v>32</v>
      </c>
      <c r="L64" s="209"/>
    </row>
    <row r="65" spans="1:12" ht="14.25">
      <c r="A65" s="210"/>
      <c r="B65" s="256"/>
      <c r="C65" s="159">
        <v>2022</v>
      </c>
      <c r="D65" s="163">
        <f>I65</f>
        <v>0</v>
      </c>
      <c r="E65" s="163"/>
      <c r="F65" s="163"/>
      <c r="G65" s="163"/>
      <c r="H65" s="163"/>
      <c r="I65" s="163">
        <v>0</v>
      </c>
      <c r="J65" s="68"/>
      <c r="K65" s="210"/>
      <c r="L65" s="210"/>
    </row>
    <row r="66" spans="1:12" ht="21" customHeight="1">
      <c r="A66" s="208" t="s">
        <v>104</v>
      </c>
      <c r="B66" s="254" t="s">
        <v>40</v>
      </c>
      <c r="C66" s="160">
        <v>2017</v>
      </c>
      <c r="D66" s="163">
        <f>I66</f>
        <v>10</v>
      </c>
      <c r="E66" s="163">
        <v>0</v>
      </c>
      <c r="F66" s="163"/>
      <c r="G66" s="163"/>
      <c r="H66" s="163">
        <v>0</v>
      </c>
      <c r="I66" s="163">
        <v>10</v>
      </c>
      <c r="J66" s="68"/>
      <c r="K66" s="208" t="s">
        <v>32</v>
      </c>
      <c r="L66" s="208" t="s">
        <v>41</v>
      </c>
    </row>
    <row r="67" spans="1:12" ht="15" customHeight="1">
      <c r="A67" s="209"/>
      <c r="B67" s="255"/>
      <c r="C67" s="160">
        <v>2018</v>
      </c>
      <c r="D67" s="163">
        <f>E67+H67+I67</f>
        <v>0</v>
      </c>
      <c r="E67" s="163">
        <v>0</v>
      </c>
      <c r="F67" s="163"/>
      <c r="G67" s="163"/>
      <c r="H67" s="163">
        <v>0</v>
      </c>
      <c r="I67" s="163">
        <v>0</v>
      </c>
      <c r="J67" s="68"/>
      <c r="K67" s="209"/>
      <c r="L67" s="209"/>
    </row>
    <row r="68" spans="1:12" ht="14.25">
      <c r="A68" s="209"/>
      <c r="B68" s="255"/>
      <c r="C68" s="160">
        <v>2019</v>
      </c>
      <c r="D68" s="163">
        <f>SUM(E68:I68)</f>
        <v>0</v>
      </c>
      <c r="E68" s="163">
        <v>0</v>
      </c>
      <c r="F68" s="163"/>
      <c r="G68" s="163"/>
      <c r="H68" s="163">
        <v>0</v>
      </c>
      <c r="I68" s="163">
        <v>0</v>
      </c>
      <c r="J68" s="68"/>
      <c r="K68" s="209"/>
      <c r="L68" s="209"/>
    </row>
    <row r="69" spans="1:12" ht="29.25" customHeight="1">
      <c r="A69" s="209"/>
      <c r="B69" s="255"/>
      <c r="C69" s="160">
        <v>2020</v>
      </c>
      <c r="D69" s="163">
        <f>I69</f>
        <v>3</v>
      </c>
      <c r="E69" s="163">
        <v>0</v>
      </c>
      <c r="F69" s="163"/>
      <c r="G69" s="163"/>
      <c r="H69" s="163">
        <v>0</v>
      </c>
      <c r="I69" s="163">
        <v>3</v>
      </c>
      <c r="J69" s="68"/>
      <c r="K69" s="209"/>
      <c r="L69" s="209"/>
    </row>
    <row r="70" spans="1:12" ht="29.25" customHeight="1">
      <c r="A70" s="209"/>
      <c r="B70" s="255"/>
      <c r="C70" s="160">
        <v>2021</v>
      </c>
      <c r="D70" s="163">
        <f>E70+F70+I70+J70</f>
        <v>0</v>
      </c>
      <c r="E70" s="163">
        <v>0</v>
      </c>
      <c r="F70" s="163"/>
      <c r="G70" s="163"/>
      <c r="H70" s="163">
        <v>0</v>
      </c>
      <c r="I70" s="163">
        <v>0</v>
      </c>
      <c r="J70" s="68"/>
      <c r="K70" s="209"/>
      <c r="L70" s="209"/>
    </row>
    <row r="71" spans="1:12" ht="29.25" customHeight="1">
      <c r="A71" s="210"/>
      <c r="B71" s="256"/>
      <c r="C71" s="160">
        <v>2022</v>
      </c>
      <c r="D71" s="163">
        <f>I71</f>
        <v>0</v>
      </c>
      <c r="E71" s="163"/>
      <c r="F71" s="163"/>
      <c r="G71" s="163"/>
      <c r="H71" s="163"/>
      <c r="I71" s="163">
        <v>0</v>
      </c>
      <c r="J71" s="68"/>
      <c r="K71" s="210"/>
      <c r="L71" s="210"/>
    </row>
    <row r="72" spans="1:12" ht="15" customHeight="1">
      <c r="A72" s="208" t="s">
        <v>105</v>
      </c>
      <c r="B72" s="254" t="s">
        <v>42</v>
      </c>
      <c r="C72" s="160">
        <v>2017</v>
      </c>
      <c r="D72" s="163">
        <f>I72</f>
        <v>5</v>
      </c>
      <c r="E72" s="163">
        <v>0</v>
      </c>
      <c r="F72" s="163"/>
      <c r="G72" s="163"/>
      <c r="H72" s="163">
        <v>0</v>
      </c>
      <c r="I72" s="163">
        <v>5</v>
      </c>
      <c r="J72" s="68"/>
      <c r="K72" s="208" t="s">
        <v>32</v>
      </c>
      <c r="L72" s="208" t="s">
        <v>43</v>
      </c>
    </row>
    <row r="73" spans="1:12" ht="20.25" customHeight="1">
      <c r="A73" s="209"/>
      <c r="B73" s="255"/>
      <c r="C73" s="160">
        <v>2018</v>
      </c>
      <c r="D73" s="163">
        <f>SUM(E73:I73)</f>
        <v>0</v>
      </c>
      <c r="E73" s="163">
        <v>0</v>
      </c>
      <c r="F73" s="163"/>
      <c r="G73" s="163"/>
      <c r="H73" s="163">
        <v>0</v>
      </c>
      <c r="I73" s="163">
        <v>0</v>
      </c>
      <c r="J73" s="68"/>
      <c r="K73" s="209"/>
      <c r="L73" s="209"/>
    </row>
    <row r="74" spans="1:12" ht="14.25">
      <c r="A74" s="209"/>
      <c r="B74" s="255"/>
      <c r="C74" s="160">
        <v>2019</v>
      </c>
      <c r="D74" s="163">
        <f>SUM(E74:I74)</f>
        <v>0</v>
      </c>
      <c r="E74" s="163">
        <v>0</v>
      </c>
      <c r="F74" s="163"/>
      <c r="G74" s="163"/>
      <c r="H74" s="163">
        <v>0</v>
      </c>
      <c r="I74" s="163">
        <v>0</v>
      </c>
      <c r="J74" s="68"/>
      <c r="K74" s="209"/>
      <c r="L74" s="209"/>
    </row>
    <row r="75" spans="1:12" ht="14.25">
      <c r="A75" s="209"/>
      <c r="B75" s="255"/>
      <c r="C75" s="160">
        <v>2020</v>
      </c>
      <c r="D75" s="163">
        <f>I75</f>
        <v>2</v>
      </c>
      <c r="E75" s="163">
        <v>0</v>
      </c>
      <c r="F75" s="163"/>
      <c r="G75" s="163"/>
      <c r="H75" s="163">
        <v>0</v>
      </c>
      <c r="I75" s="163">
        <v>2</v>
      </c>
      <c r="J75" s="68"/>
      <c r="K75" s="209"/>
      <c r="L75" s="209"/>
    </row>
    <row r="76" spans="1:12" ht="14.25">
      <c r="A76" s="209"/>
      <c r="B76" s="255"/>
      <c r="C76" s="160">
        <v>2021</v>
      </c>
      <c r="D76" s="163">
        <f>I76</f>
        <v>0</v>
      </c>
      <c r="E76" s="163">
        <v>0</v>
      </c>
      <c r="F76" s="163"/>
      <c r="G76" s="163"/>
      <c r="H76" s="163">
        <v>0</v>
      </c>
      <c r="I76" s="163">
        <v>0</v>
      </c>
      <c r="J76" s="68"/>
      <c r="K76" s="209"/>
      <c r="L76" s="209"/>
    </row>
    <row r="77" spans="1:12" ht="14.25">
      <c r="A77" s="210"/>
      <c r="B77" s="256"/>
      <c r="C77" s="160">
        <v>2022</v>
      </c>
      <c r="D77" s="163">
        <f>I77</f>
        <v>0</v>
      </c>
      <c r="E77" s="163"/>
      <c r="F77" s="163"/>
      <c r="G77" s="163"/>
      <c r="H77" s="163"/>
      <c r="I77" s="163">
        <v>0</v>
      </c>
      <c r="J77" s="68"/>
      <c r="K77" s="210"/>
      <c r="L77" s="210"/>
    </row>
    <row r="78" spans="1:12" ht="18" customHeight="1">
      <c r="A78" s="208" t="s">
        <v>106</v>
      </c>
      <c r="B78" s="254" t="s">
        <v>44</v>
      </c>
      <c r="C78" s="160">
        <v>2017</v>
      </c>
      <c r="D78" s="163">
        <f>I78</f>
        <v>5</v>
      </c>
      <c r="E78" s="163">
        <v>0</v>
      </c>
      <c r="F78" s="163"/>
      <c r="G78" s="163"/>
      <c r="H78" s="163">
        <v>0</v>
      </c>
      <c r="I78" s="163">
        <v>5</v>
      </c>
      <c r="J78" s="68"/>
      <c r="K78" s="208" t="s">
        <v>32</v>
      </c>
      <c r="L78" s="208" t="s">
        <v>45</v>
      </c>
    </row>
    <row r="79" spans="1:12" ht="15.75" customHeight="1">
      <c r="A79" s="209"/>
      <c r="B79" s="255"/>
      <c r="C79" s="160">
        <v>2018</v>
      </c>
      <c r="D79" s="163">
        <f>SUM(E79:I79)</f>
        <v>0</v>
      </c>
      <c r="E79" s="163">
        <v>0</v>
      </c>
      <c r="F79" s="163"/>
      <c r="G79" s="163"/>
      <c r="H79" s="163">
        <v>0</v>
      </c>
      <c r="I79" s="163">
        <v>0</v>
      </c>
      <c r="J79" s="68"/>
      <c r="K79" s="209"/>
      <c r="L79" s="209"/>
    </row>
    <row r="80" spans="1:12" ht="14.25">
      <c r="A80" s="209"/>
      <c r="B80" s="255"/>
      <c r="C80" s="160">
        <v>2019</v>
      </c>
      <c r="D80" s="163">
        <f>SUM(E80:I80)</f>
        <v>0</v>
      </c>
      <c r="E80" s="163">
        <v>0</v>
      </c>
      <c r="F80" s="163"/>
      <c r="G80" s="163"/>
      <c r="H80" s="163">
        <v>0</v>
      </c>
      <c r="I80" s="163">
        <v>0</v>
      </c>
      <c r="J80" s="68"/>
      <c r="K80" s="209"/>
      <c r="L80" s="209"/>
    </row>
    <row r="81" spans="1:12" ht="14.25">
      <c r="A81" s="209"/>
      <c r="B81" s="255"/>
      <c r="C81" s="160">
        <v>2020</v>
      </c>
      <c r="D81" s="163">
        <f>I81</f>
        <v>2</v>
      </c>
      <c r="E81" s="163">
        <v>0</v>
      </c>
      <c r="F81" s="163"/>
      <c r="G81" s="163"/>
      <c r="H81" s="163">
        <v>0</v>
      </c>
      <c r="I81" s="163">
        <v>2</v>
      </c>
      <c r="J81" s="68"/>
      <c r="K81" s="209"/>
      <c r="L81" s="209"/>
    </row>
    <row r="82" spans="1:12" ht="14.25">
      <c r="A82" s="209"/>
      <c r="B82" s="255"/>
      <c r="C82" s="160">
        <v>2021</v>
      </c>
      <c r="D82" s="163">
        <f>I82</f>
        <v>0</v>
      </c>
      <c r="E82" s="163">
        <v>0</v>
      </c>
      <c r="F82" s="163"/>
      <c r="G82" s="163"/>
      <c r="H82" s="163">
        <v>0</v>
      </c>
      <c r="I82" s="163">
        <v>0</v>
      </c>
      <c r="J82" s="68"/>
      <c r="K82" s="209"/>
      <c r="L82" s="209"/>
    </row>
    <row r="83" spans="1:12" ht="14.25">
      <c r="A83" s="210"/>
      <c r="B83" s="256"/>
      <c r="C83" s="160">
        <v>2022</v>
      </c>
      <c r="D83" s="163">
        <f>I83</f>
        <v>0</v>
      </c>
      <c r="E83" s="163"/>
      <c r="F83" s="163"/>
      <c r="G83" s="163"/>
      <c r="H83" s="163"/>
      <c r="I83" s="163">
        <v>0</v>
      </c>
      <c r="J83" s="68"/>
      <c r="K83" s="210"/>
      <c r="L83" s="210"/>
    </row>
    <row r="84" spans="1:12" ht="18" customHeight="1">
      <c r="A84" s="208" t="s">
        <v>107</v>
      </c>
      <c r="B84" s="254" t="s">
        <v>46</v>
      </c>
      <c r="C84" s="160">
        <v>2017</v>
      </c>
      <c r="D84" s="163">
        <f>I84</f>
        <v>80</v>
      </c>
      <c r="E84" s="163">
        <v>0</v>
      </c>
      <c r="F84" s="163"/>
      <c r="G84" s="163"/>
      <c r="H84" s="163">
        <v>0</v>
      </c>
      <c r="I84" s="163">
        <v>80</v>
      </c>
      <c r="J84" s="68"/>
      <c r="K84" s="208" t="s">
        <v>32</v>
      </c>
      <c r="L84" s="208" t="s">
        <v>47</v>
      </c>
    </row>
    <row r="85" spans="1:12" ht="19.5" customHeight="1">
      <c r="A85" s="209"/>
      <c r="B85" s="255"/>
      <c r="C85" s="160">
        <v>2018</v>
      </c>
      <c r="D85" s="163">
        <f>E85+H85+I85</f>
        <v>0</v>
      </c>
      <c r="E85" s="163">
        <v>0</v>
      </c>
      <c r="F85" s="163"/>
      <c r="G85" s="163"/>
      <c r="H85" s="69">
        <v>0</v>
      </c>
      <c r="I85" s="163">
        <v>0</v>
      </c>
      <c r="J85" s="68"/>
      <c r="K85" s="209"/>
      <c r="L85" s="209"/>
    </row>
    <row r="86" spans="1:12" ht="14.25">
      <c r="A86" s="209"/>
      <c r="B86" s="255"/>
      <c r="C86" s="160">
        <v>2019</v>
      </c>
      <c r="D86" s="163">
        <f aca="true" t="shared" si="1" ref="D86:D100">SUM(E86:I86)</f>
        <v>2.8</v>
      </c>
      <c r="E86" s="163">
        <v>0</v>
      </c>
      <c r="F86" s="163"/>
      <c r="G86" s="163"/>
      <c r="H86" s="69">
        <v>0</v>
      </c>
      <c r="I86" s="163">
        <v>2.8</v>
      </c>
      <c r="J86" s="68" t="s">
        <v>39</v>
      </c>
      <c r="K86" s="209"/>
      <c r="L86" s="209"/>
    </row>
    <row r="87" spans="1:12" ht="23.25" customHeight="1">
      <c r="A87" s="209"/>
      <c r="B87" s="255"/>
      <c r="C87" s="160">
        <v>2020</v>
      </c>
      <c r="D87" s="163">
        <f t="shared" si="1"/>
        <v>3</v>
      </c>
      <c r="E87" s="163">
        <v>0</v>
      </c>
      <c r="F87" s="163"/>
      <c r="G87" s="163"/>
      <c r="H87" s="69">
        <v>0</v>
      </c>
      <c r="I87" s="163">
        <v>3</v>
      </c>
      <c r="J87" s="68"/>
      <c r="K87" s="209"/>
      <c r="L87" s="209"/>
    </row>
    <row r="88" spans="1:12" ht="16.5" customHeight="1">
      <c r="A88" s="209"/>
      <c r="B88" s="255"/>
      <c r="C88" s="160">
        <v>2021</v>
      </c>
      <c r="D88" s="163">
        <f>I88</f>
        <v>0</v>
      </c>
      <c r="E88" s="163">
        <v>0</v>
      </c>
      <c r="F88" s="163"/>
      <c r="G88" s="163"/>
      <c r="H88" s="69">
        <v>0</v>
      </c>
      <c r="I88" s="163">
        <v>0</v>
      </c>
      <c r="J88" s="68"/>
      <c r="K88" s="209"/>
      <c r="L88" s="209"/>
    </row>
    <row r="89" spans="1:12" ht="16.5" customHeight="1">
      <c r="A89" s="210"/>
      <c r="B89" s="256"/>
      <c r="C89" s="160">
        <v>2022</v>
      </c>
      <c r="D89" s="163">
        <f>I89</f>
        <v>0</v>
      </c>
      <c r="E89" s="163"/>
      <c r="F89" s="163"/>
      <c r="G89" s="163"/>
      <c r="H89" s="69"/>
      <c r="I89" s="163">
        <v>0</v>
      </c>
      <c r="J89" s="68"/>
      <c r="K89" s="210"/>
      <c r="L89" s="210"/>
    </row>
    <row r="90" spans="1:12" ht="24" customHeight="1">
      <c r="A90" s="208" t="s">
        <v>158</v>
      </c>
      <c r="B90" s="254" t="s">
        <v>160</v>
      </c>
      <c r="C90" s="160">
        <v>2017</v>
      </c>
      <c r="D90" s="163">
        <f t="shared" si="1"/>
        <v>500</v>
      </c>
      <c r="E90" s="163">
        <v>0</v>
      </c>
      <c r="F90" s="163"/>
      <c r="G90" s="163"/>
      <c r="H90" s="69">
        <v>0</v>
      </c>
      <c r="I90" s="163">
        <v>500</v>
      </c>
      <c r="J90" s="68"/>
      <c r="K90" s="70" t="s">
        <v>163</v>
      </c>
      <c r="L90" s="208" t="s">
        <v>162</v>
      </c>
    </row>
    <row r="91" spans="1:12" ht="14.25">
      <c r="A91" s="209"/>
      <c r="B91" s="255"/>
      <c r="C91" s="160">
        <v>2017</v>
      </c>
      <c r="D91" s="163">
        <f>I91</f>
        <v>374.024</v>
      </c>
      <c r="E91" s="163">
        <v>0</v>
      </c>
      <c r="F91" s="163"/>
      <c r="G91" s="163"/>
      <c r="H91" s="69">
        <v>0</v>
      </c>
      <c r="I91" s="163">
        <v>374.024</v>
      </c>
      <c r="J91" s="68"/>
      <c r="K91" s="166" t="s">
        <v>164</v>
      </c>
      <c r="L91" s="209"/>
    </row>
    <row r="92" spans="1:12" ht="14.25">
      <c r="A92" s="209"/>
      <c r="B92" s="255"/>
      <c r="C92" s="160">
        <v>2017</v>
      </c>
      <c r="D92" s="163">
        <f>I92</f>
        <v>234.9695</v>
      </c>
      <c r="E92" s="163">
        <v>0</v>
      </c>
      <c r="F92" s="163"/>
      <c r="G92" s="163"/>
      <c r="H92" s="69">
        <v>0</v>
      </c>
      <c r="I92" s="163">
        <v>234.9695</v>
      </c>
      <c r="J92" s="68"/>
      <c r="K92" s="166" t="s">
        <v>56</v>
      </c>
      <c r="L92" s="209"/>
    </row>
    <row r="93" spans="1:12" ht="14.25" customHeight="1">
      <c r="A93" s="209"/>
      <c r="B93" s="255"/>
      <c r="C93" s="160">
        <v>2018</v>
      </c>
      <c r="D93" s="163">
        <f t="shared" si="1"/>
        <v>359</v>
      </c>
      <c r="E93" s="163">
        <v>0</v>
      </c>
      <c r="F93" s="163"/>
      <c r="G93" s="163"/>
      <c r="H93" s="69">
        <v>0</v>
      </c>
      <c r="I93" s="163">
        <f>50+309</f>
        <v>359</v>
      </c>
      <c r="J93" s="68"/>
      <c r="K93" s="254" t="s">
        <v>32</v>
      </c>
      <c r="L93" s="209"/>
    </row>
    <row r="94" spans="1:12" ht="14.25">
      <c r="A94" s="209"/>
      <c r="B94" s="255"/>
      <c r="C94" s="160">
        <v>2019</v>
      </c>
      <c r="D94" s="163">
        <f>I94</f>
        <v>378.499</v>
      </c>
      <c r="E94" s="163">
        <v>0</v>
      </c>
      <c r="F94" s="163"/>
      <c r="G94" s="163"/>
      <c r="H94" s="69">
        <v>0</v>
      </c>
      <c r="I94" s="163">
        <v>378.499</v>
      </c>
      <c r="J94" s="68"/>
      <c r="K94" s="255"/>
      <c r="L94" s="209"/>
    </row>
    <row r="95" spans="1:12" ht="21" customHeight="1">
      <c r="A95" s="209"/>
      <c r="B95" s="255"/>
      <c r="C95" s="160">
        <v>2020</v>
      </c>
      <c r="D95" s="163">
        <f t="shared" si="1"/>
        <v>200</v>
      </c>
      <c r="E95" s="163">
        <v>0</v>
      </c>
      <c r="F95" s="163"/>
      <c r="G95" s="163"/>
      <c r="H95" s="69">
        <v>0</v>
      </c>
      <c r="I95" s="163">
        <v>200</v>
      </c>
      <c r="J95" s="68"/>
      <c r="K95" s="255"/>
      <c r="L95" s="209"/>
    </row>
    <row r="96" spans="1:12" ht="21" customHeight="1">
      <c r="A96" s="209"/>
      <c r="B96" s="255"/>
      <c r="C96" s="160">
        <v>2021</v>
      </c>
      <c r="D96" s="163">
        <f>I96</f>
        <v>0</v>
      </c>
      <c r="E96" s="163">
        <v>0</v>
      </c>
      <c r="F96" s="163"/>
      <c r="G96" s="163"/>
      <c r="H96" s="69">
        <v>0</v>
      </c>
      <c r="I96" s="163">
        <v>0</v>
      </c>
      <c r="J96" s="68"/>
      <c r="K96" s="255"/>
      <c r="L96" s="209"/>
    </row>
    <row r="97" spans="1:12" ht="21" customHeight="1">
      <c r="A97" s="210"/>
      <c r="B97" s="256"/>
      <c r="C97" s="160">
        <v>2022</v>
      </c>
      <c r="D97" s="163">
        <f>I97</f>
        <v>0</v>
      </c>
      <c r="E97" s="163"/>
      <c r="F97" s="163"/>
      <c r="G97" s="163"/>
      <c r="H97" s="69"/>
      <c r="I97" s="163">
        <v>0</v>
      </c>
      <c r="J97" s="68"/>
      <c r="K97" s="256"/>
      <c r="L97" s="210"/>
    </row>
    <row r="98" spans="1:12" ht="21" customHeight="1">
      <c r="A98" s="208" t="s">
        <v>159</v>
      </c>
      <c r="B98" s="254" t="s">
        <v>166</v>
      </c>
      <c r="C98" s="160">
        <v>2017</v>
      </c>
      <c r="D98" s="163">
        <f>I98</f>
        <v>65.8528</v>
      </c>
      <c r="E98" s="163">
        <v>0</v>
      </c>
      <c r="F98" s="163"/>
      <c r="G98" s="163"/>
      <c r="H98" s="69">
        <v>0</v>
      </c>
      <c r="I98" s="163">
        <v>65.8528</v>
      </c>
      <c r="J98" s="68"/>
      <c r="K98" s="208" t="s">
        <v>57</v>
      </c>
      <c r="L98" s="208" t="s">
        <v>303</v>
      </c>
    </row>
    <row r="99" spans="1:12" ht="14.25" customHeight="1">
      <c r="A99" s="209"/>
      <c r="B99" s="255"/>
      <c r="C99" s="160">
        <v>2018</v>
      </c>
      <c r="D99" s="163">
        <f t="shared" si="1"/>
        <v>60</v>
      </c>
      <c r="E99" s="163">
        <v>0</v>
      </c>
      <c r="F99" s="163"/>
      <c r="G99" s="163"/>
      <c r="H99" s="69">
        <v>0</v>
      </c>
      <c r="I99" s="163">
        <v>60</v>
      </c>
      <c r="J99" s="68"/>
      <c r="K99" s="209"/>
      <c r="L99" s="209"/>
    </row>
    <row r="100" spans="1:12" ht="14.25">
      <c r="A100" s="209"/>
      <c r="B100" s="255"/>
      <c r="C100" s="160">
        <v>2019</v>
      </c>
      <c r="D100" s="163">
        <f t="shared" si="1"/>
        <v>60</v>
      </c>
      <c r="E100" s="163">
        <v>0</v>
      </c>
      <c r="F100" s="163"/>
      <c r="G100" s="163"/>
      <c r="H100" s="69">
        <v>0</v>
      </c>
      <c r="I100" s="163">
        <v>60</v>
      </c>
      <c r="J100" s="68"/>
      <c r="K100" s="209"/>
      <c r="L100" s="209"/>
    </row>
    <row r="101" spans="1:12" ht="14.25">
      <c r="A101" s="209"/>
      <c r="B101" s="255"/>
      <c r="C101" s="160">
        <v>2020</v>
      </c>
      <c r="D101" s="163">
        <f aca="true" t="shared" si="2" ref="D101:D114">I101</f>
        <v>60</v>
      </c>
      <c r="E101" s="163">
        <v>0</v>
      </c>
      <c r="F101" s="163"/>
      <c r="G101" s="163"/>
      <c r="H101" s="69">
        <v>0</v>
      </c>
      <c r="I101" s="163">
        <v>60</v>
      </c>
      <c r="J101" s="68"/>
      <c r="K101" s="209"/>
      <c r="L101" s="209"/>
    </row>
    <row r="102" spans="1:12" ht="14.25">
      <c r="A102" s="209"/>
      <c r="B102" s="255"/>
      <c r="C102" s="160">
        <v>2021</v>
      </c>
      <c r="D102" s="163">
        <f t="shared" si="2"/>
        <v>0</v>
      </c>
      <c r="E102" s="163">
        <v>0</v>
      </c>
      <c r="F102" s="163"/>
      <c r="G102" s="163"/>
      <c r="H102" s="69">
        <v>0</v>
      </c>
      <c r="I102" s="163">
        <v>0</v>
      </c>
      <c r="J102" s="68"/>
      <c r="K102" s="209"/>
      <c r="L102" s="209"/>
    </row>
    <row r="103" spans="1:12" ht="14.25">
      <c r="A103" s="210"/>
      <c r="B103" s="256"/>
      <c r="C103" s="160">
        <v>2022</v>
      </c>
      <c r="D103" s="163">
        <f t="shared" si="2"/>
        <v>0</v>
      </c>
      <c r="E103" s="163"/>
      <c r="F103" s="163"/>
      <c r="G103" s="163"/>
      <c r="H103" s="69"/>
      <c r="I103" s="163">
        <v>0</v>
      </c>
      <c r="J103" s="68"/>
      <c r="K103" s="210"/>
      <c r="L103" s="209"/>
    </row>
    <row r="104" spans="1:12" ht="14.25" customHeight="1">
      <c r="A104" s="208" t="s">
        <v>174</v>
      </c>
      <c r="B104" s="254" t="s">
        <v>175</v>
      </c>
      <c r="C104" s="276">
        <v>2017</v>
      </c>
      <c r="D104" s="163">
        <f t="shared" si="2"/>
        <v>100</v>
      </c>
      <c r="E104" s="163">
        <v>0</v>
      </c>
      <c r="F104" s="163"/>
      <c r="G104" s="163"/>
      <c r="H104" s="69">
        <v>0</v>
      </c>
      <c r="I104" s="163">
        <v>100</v>
      </c>
      <c r="J104" s="68"/>
      <c r="K104" s="166" t="s">
        <v>55</v>
      </c>
      <c r="L104" s="209"/>
    </row>
    <row r="105" spans="1:12" ht="14.25">
      <c r="A105" s="209"/>
      <c r="B105" s="255"/>
      <c r="C105" s="276"/>
      <c r="D105" s="163">
        <f t="shared" si="2"/>
        <v>35</v>
      </c>
      <c r="E105" s="163">
        <v>0</v>
      </c>
      <c r="F105" s="163"/>
      <c r="G105" s="163"/>
      <c r="H105" s="69">
        <v>0</v>
      </c>
      <c r="I105" s="163">
        <v>35</v>
      </c>
      <c r="J105" s="68"/>
      <c r="K105" s="166" t="s">
        <v>173</v>
      </c>
      <c r="L105" s="209"/>
    </row>
    <row r="106" spans="1:12" ht="14.25">
      <c r="A106" s="209"/>
      <c r="B106" s="255"/>
      <c r="C106" s="160">
        <v>2018</v>
      </c>
      <c r="D106" s="163">
        <f t="shared" si="2"/>
        <v>0</v>
      </c>
      <c r="E106" s="163">
        <v>0</v>
      </c>
      <c r="F106" s="163"/>
      <c r="G106" s="163"/>
      <c r="H106" s="69">
        <v>0</v>
      </c>
      <c r="I106" s="163">
        <v>0</v>
      </c>
      <c r="J106" s="68"/>
      <c r="K106" s="166"/>
      <c r="L106" s="209"/>
    </row>
    <row r="107" spans="1:12" ht="14.25">
      <c r="A107" s="209"/>
      <c r="B107" s="255"/>
      <c r="C107" s="160">
        <v>2019</v>
      </c>
      <c r="D107" s="163">
        <f t="shared" si="2"/>
        <v>0</v>
      </c>
      <c r="E107" s="163">
        <v>0</v>
      </c>
      <c r="F107" s="163"/>
      <c r="G107" s="163"/>
      <c r="H107" s="69">
        <v>0</v>
      </c>
      <c r="I107" s="163">
        <v>0</v>
      </c>
      <c r="J107" s="68"/>
      <c r="K107" s="166"/>
      <c r="L107" s="209"/>
    </row>
    <row r="108" spans="1:12" ht="14.25">
      <c r="A108" s="209"/>
      <c r="B108" s="255"/>
      <c r="C108" s="160">
        <v>2020</v>
      </c>
      <c r="D108" s="163">
        <f t="shared" si="2"/>
        <v>0</v>
      </c>
      <c r="E108" s="163">
        <v>0</v>
      </c>
      <c r="F108" s="163"/>
      <c r="G108" s="163"/>
      <c r="H108" s="69">
        <v>0</v>
      </c>
      <c r="I108" s="163">
        <v>0</v>
      </c>
      <c r="J108" s="68"/>
      <c r="K108" s="166"/>
      <c r="L108" s="209"/>
    </row>
    <row r="109" spans="1:12" ht="14.25">
      <c r="A109" s="209"/>
      <c r="B109" s="255"/>
      <c r="C109" s="160">
        <v>2021</v>
      </c>
      <c r="D109" s="163">
        <f t="shared" si="2"/>
        <v>0</v>
      </c>
      <c r="E109" s="163">
        <f>I109</f>
        <v>0</v>
      </c>
      <c r="F109" s="163"/>
      <c r="G109" s="163"/>
      <c r="H109" s="69">
        <v>0</v>
      </c>
      <c r="I109" s="163">
        <v>0</v>
      </c>
      <c r="J109" s="68"/>
      <c r="K109" s="166"/>
      <c r="L109" s="209"/>
    </row>
    <row r="110" spans="1:12" ht="14.25">
      <c r="A110" s="210"/>
      <c r="B110" s="256"/>
      <c r="C110" s="160">
        <v>2022</v>
      </c>
      <c r="D110" s="163">
        <f t="shared" si="2"/>
        <v>0</v>
      </c>
      <c r="E110" s="163"/>
      <c r="F110" s="163"/>
      <c r="G110" s="163"/>
      <c r="H110" s="69"/>
      <c r="I110" s="163">
        <v>0</v>
      </c>
      <c r="J110" s="68"/>
      <c r="K110" s="166"/>
      <c r="L110" s="209"/>
    </row>
    <row r="111" spans="1:12" ht="14.25" customHeight="1">
      <c r="A111" s="208" t="s">
        <v>196</v>
      </c>
      <c r="B111" s="254" t="s">
        <v>197</v>
      </c>
      <c r="C111" s="160">
        <v>2017</v>
      </c>
      <c r="D111" s="163">
        <f t="shared" si="2"/>
        <v>0</v>
      </c>
      <c r="E111" s="163">
        <v>0</v>
      </c>
      <c r="F111" s="163"/>
      <c r="G111" s="163"/>
      <c r="H111" s="69">
        <v>0</v>
      </c>
      <c r="I111" s="163">
        <v>0</v>
      </c>
      <c r="J111" s="68"/>
      <c r="K111" s="166"/>
      <c r="L111" s="209"/>
    </row>
    <row r="112" spans="1:12" ht="14.25">
      <c r="A112" s="209"/>
      <c r="B112" s="255"/>
      <c r="C112" s="160">
        <v>2018</v>
      </c>
      <c r="D112" s="163">
        <f t="shared" si="2"/>
        <v>39.66</v>
      </c>
      <c r="E112" s="163">
        <v>0</v>
      </c>
      <c r="F112" s="163"/>
      <c r="G112" s="163"/>
      <c r="H112" s="69">
        <v>0</v>
      </c>
      <c r="I112" s="163">
        <v>39.66</v>
      </c>
      <c r="J112" s="68"/>
      <c r="K112" s="166" t="s">
        <v>55</v>
      </c>
      <c r="L112" s="209"/>
    </row>
    <row r="113" spans="1:12" ht="14.25">
      <c r="A113" s="209"/>
      <c r="B113" s="255"/>
      <c r="C113" s="160">
        <v>2019</v>
      </c>
      <c r="D113" s="163">
        <f t="shared" si="2"/>
        <v>0</v>
      </c>
      <c r="E113" s="163">
        <v>0</v>
      </c>
      <c r="F113" s="163"/>
      <c r="G113" s="163"/>
      <c r="H113" s="69">
        <v>0</v>
      </c>
      <c r="I113" s="163">
        <v>0</v>
      </c>
      <c r="J113" s="68"/>
      <c r="K113" s="166"/>
      <c r="L113" s="209"/>
    </row>
    <row r="114" spans="1:12" ht="14.25">
      <c r="A114" s="209"/>
      <c r="B114" s="255"/>
      <c r="C114" s="160">
        <v>2020</v>
      </c>
      <c r="D114" s="163">
        <f t="shared" si="2"/>
        <v>0</v>
      </c>
      <c r="E114" s="163">
        <v>0</v>
      </c>
      <c r="F114" s="163"/>
      <c r="G114" s="163"/>
      <c r="H114" s="69">
        <v>0</v>
      </c>
      <c r="I114" s="163">
        <v>0</v>
      </c>
      <c r="J114" s="68"/>
      <c r="K114" s="166"/>
      <c r="L114" s="209"/>
    </row>
    <row r="115" spans="1:12" ht="14.25">
      <c r="A115" s="209"/>
      <c r="B115" s="255"/>
      <c r="C115" s="160">
        <v>2021</v>
      </c>
      <c r="D115" s="163">
        <v>0</v>
      </c>
      <c r="E115" s="163">
        <v>0</v>
      </c>
      <c r="F115" s="163"/>
      <c r="G115" s="163"/>
      <c r="H115" s="69">
        <v>0</v>
      </c>
      <c r="I115" s="163">
        <v>0</v>
      </c>
      <c r="J115" s="68"/>
      <c r="K115" s="166"/>
      <c r="L115" s="210"/>
    </row>
    <row r="116" spans="1:12" ht="14.25">
      <c r="A116" s="210"/>
      <c r="B116" s="256"/>
      <c r="C116" s="160">
        <v>2022</v>
      </c>
      <c r="D116" s="160">
        <f>I116</f>
        <v>0</v>
      </c>
      <c r="E116" s="160"/>
      <c r="F116" s="160"/>
      <c r="G116" s="160"/>
      <c r="H116" s="160"/>
      <c r="I116" s="160">
        <v>0</v>
      </c>
      <c r="J116" s="68"/>
      <c r="K116" s="166"/>
      <c r="L116" s="152"/>
    </row>
    <row r="117" spans="1:12" ht="14.25">
      <c r="A117" s="208" t="s">
        <v>328</v>
      </c>
      <c r="B117" s="254" t="s">
        <v>319</v>
      </c>
      <c r="C117" s="160">
        <v>2017</v>
      </c>
      <c r="D117" s="142">
        <v>0</v>
      </c>
      <c r="E117" s="142">
        <v>0</v>
      </c>
      <c r="F117" s="142">
        <v>0</v>
      </c>
      <c r="G117" s="142">
        <v>0</v>
      </c>
      <c r="H117" s="142">
        <v>0</v>
      </c>
      <c r="I117" s="142">
        <v>0</v>
      </c>
      <c r="J117" s="68"/>
      <c r="K117" s="166"/>
      <c r="L117" s="152"/>
    </row>
    <row r="118" spans="1:12" ht="14.25">
      <c r="A118" s="209"/>
      <c r="B118" s="255"/>
      <c r="C118" s="160">
        <v>2018</v>
      </c>
      <c r="D118" s="142">
        <v>0</v>
      </c>
      <c r="E118" s="142">
        <v>0</v>
      </c>
      <c r="F118" s="142">
        <v>0</v>
      </c>
      <c r="G118" s="142">
        <v>0</v>
      </c>
      <c r="H118" s="142">
        <v>0</v>
      </c>
      <c r="I118" s="142">
        <v>0</v>
      </c>
      <c r="J118" s="68"/>
      <c r="K118" s="166"/>
      <c r="L118" s="152"/>
    </row>
    <row r="119" spans="1:12" ht="14.25">
      <c r="A119" s="209"/>
      <c r="B119" s="255"/>
      <c r="C119" s="160">
        <v>2019</v>
      </c>
      <c r="D119" s="142">
        <f>H119+I119</f>
        <v>27.739</v>
      </c>
      <c r="E119" s="142">
        <v>0</v>
      </c>
      <c r="F119" s="142">
        <v>0</v>
      </c>
      <c r="G119" s="142">
        <v>0</v>
      </c>
      <c r="H119" s="142">
        <v>0</v>
      </c>
      <c r="I119" s="142">
        <v>27.739</v>
      </c>
      <c r="J119" s="68"/>
      <c r="K119" s="166"/>
      <c r="L119" s="152"/>
    </row>
    <row r="120" spans="1:12" ht="14.25">
      <c r="A120" s="209"/>
      <c r="B120" s="255"/>
      <c r="C120" s="160">
        <v>2020</v>
      </c>
      <c r="D120" s="142">
        <v>0</v>
      </c>
      <c r="E120" s="142">
        <v>0</v>
      </c>
      <c r="F120" s="142">
        <v>0</v>
      </c>
      <c r="G120" s="142">
        <v>0</v>
      </c>
      <c r="H120" s="142">
        <v>0</v>
      </c>
      <c r="I120" s="142">
        <v>0</v>
      </c>
      <c r="J120" s="68"/>
      <c r="K120" s="166"/>
      <c r="L120" s="152"/>
    </row>
    <row r="121" spans="1:12" ht="14.25">
      <c r="A121" s="209"/>
      <c r="B121" s="255"/>
      <c r="C121" s="160">
        <v>2021</v>
      </c>
      <c r="D121" s="142">
        <v>0</v>
      </c>
      <c r="E121" s="142">
        <v>0</v>
      </c>
      <c r="F121" s="142">
        <v>0</v>
      </c>
      <c r="G121" s="142">
        <v>0</v>
      </c>
      <c r="H121" s="142">
        <v>0</v>
      </c>
      <c r="I121" s="142">
        <v>0</v>
      </c>
      <c r="J121" s="68"/>
      <c r="K121" s="166"/>
      <c r="L121" s="152"/>
    </row>
    <row r="122" spans="1:12" ht="14.25">
      <c r="A122" s="210"/>
      <c r="B122" s="256"/>
      <c r="C122" s="160">
        <v>2022</v>
      </c>
      <c r="D122" s="142">
        <v>0</v>
      </c>
      <c r="E122" s="142">
        <v>0</v>
      </c>
      <c r="F122" s="142">
        <v>0</v>
      </c>
      <c r="G122" s="142">
        <v>0</v>
      </c>
      <c r="H122" s="142">
        <v>0</v>
      </c>
      <c r="I122" s="142">
        <v>0</v>
      </c>
      <c r="J122" s="68"/>
      <c r="K122" s="166"/>
      <c r="L122" s="152"/>
    </row>
    <row r="123" spans="1:12" ht="14.25">
      <c r="A123" s="208"/>
      <c r="B123" s="301" t="s">
        <v>168</v>
      </c>
      <c r="C123" s="94">
        <v>2017</v>
      </c>
      <c r="D123" s="125">
        <f>I123</f>
        <v>2414.4018</v>
      </c>
      <c r="E123" s="125">
        <v>0</v>
      </c>
      <c r="F123" s="125"/>
      <c r="G123" s="125"/>
      <c r="H123" s="125">
        <v>0</v>
      </c>
      <c r="I123" s="125">
        <f>I105+I104+I98+I92+I91+I90+I84+I78+I72+I66+I54+I53+I52+I51+I44+I43+I42+I30+I23+I17+I36</f>
        <v>2414.4018</v>
      </c>
      <c r="J123" s="68"/>
      <c r="K123" s="165"/>
      <c r="L123" s="71"/>
    </row>
    <row r="124" spans="1:12" ht="14.25">
      <c r="A124" s="209"/>
      <c r="B124" s="302"/>
      <c r="C124" s="94">
        <v>2018</v>
      </c>
      <c r="D124" s="125">
        <f>I124</f>
        <v>1441.4070000000002</v>
      </c>
      <c r="E124" s="125">
        <f>E18+E24+E31+E37+E45+E55+E57+E67+E73+E79+E85+E90+E91+E92+E99</f>
        <v>0</v>
      </c>
      <c r="F124" s="125"/>
      <c r="G124" s="125"/>
      <c r="H124" s="125">
        <f>H18+H24+H31+H37+H45+H55+H57+H67+H73+H79+H85+H90+H91+H92+H99</f>
        <v>0</v>
      </c>
      <c r="I124" s="125">
        <f>I106+I99+I93+I85+I79+I73+I67+I57+I45+I37+I31+I24+I18+I55+I56+I112</f>
        <v>1441.4070000000002</v>
      </c>
      <c r="J124" s="68"/>
      <c r="K124" s="165"/>
      <c r="L124" s="71"/>
    </row>
    <row r="125" spans="1:12" ht="14.25">
      <c r="A125" s="209"/>
      <c r="B125" s="302"/>
      <c r="C125" s="94">
        <v>2019</v>
      </c>
      <c r="D125" s="125">
        <f>I125</f>
        <v>1211.5683600000002</v>
      </c>
      <c r="E125" s="125">
        <f>E19+E25+E32+E38+E46+E58+E68+E74+E80+E86+E93+E100</f>
        <v>0</v>
      </c>
      <c r="F125" s="125"/>
      <c r="G125" s="125"/>
      <c r="H125" s="125">
        <f>H19+H25+H32+H38+H46+H58+H68+H74+H80+H86+H93+H100</f>
        <v>0</v>
      </c>
      <c r="I125" s="125">
        <f>I113+++I107+I100+I94+I86+I80+I74+I68+I58+I60+I46+I38+I32+I25+I19+I47+I119+I59</f>
        <v>1211.5683600000002</v>
      </c>
      <c r="J125" s="68"/>
      <c r="K125" s="165"/>
      <c r="L125" s="71"/>
    </row>
    <row r="126" spans="1:12" ht="14.25">
      <c r="A126" s="209"/>
      <c r="B126" s="302"/>
      <c r="C126" s="94">
        <v>2020</v>
      </c>
      <c r="D126" s="125">
        <f>I126</f>
        <v>914</v>
      </c>
      <c r="E126" s="125">
        <f>E20+E26+E33+E39+E48+E61+E69+E75+E81+E87+E95+E108</f>
        <v>0</v>
      </c>
      <c r="F126" s="125"/>
      <c r="G126" s="125"/>
      <c r="H126" s="125">
        <f>H20+H26+H33+H39+H48+H61+H69+H75+H81+H87+H95+H108</f>
        <v>0</v>
      </c>
      <c r="I126" s="125">
        <f>I114+I108+I101+I95+I87+I81+I75+I69+I62+I48+I39+I33+I26+I20+I61</f>
        <v>914</v>
      </c>
      <c r="J126" s="68"/>
      <c r="K126" s="165"/>
      <c r="L126" s="71"/>
    </row>
    <row r="127" spans="1:12" ht="14.25">
      <c r="A127" s="209"/>
      <c r="B127" s="302"/>
      <c r="C127" s="94">
        <v>2021</v>
      </c>
      <c r="D127" s="125">
        <f>I127+H127</f>
        <v>30</v>
      </c>
      <c r="E127" s="125">
        <v>0</v>
      </c>
      <c r="F127" s="125"/>
      <c r="G127" s="125"/>
      <c r="H127" s="125">
        <v>0</v>
      </c>
      <c r="I127" s="125">
        <f>I115+I109+I102+I96+I88+I82+I76+I70+I64+I63+I49+I40+I34+I28+I21</f>
        <v>30</v>
      </c>
      <c r="J127" s="68"/>
      <c r="K127" s="165"/>
      <c r="L127" s="71"/>
    </row>
    <row r="128" spans="1:12" ht="14.25">
      <c r="A128" s="210"/>
      <c r="B128" s="303"/>
      <c r="C128" s="94">
        <v>2022</v>
      </c>
      <c r="D128" s="125">
        <f>I128</f>
        <v>30</v>
      </c>
      <c r="E128" s="125"/>
      <c r="F128" s="125"/>
      <c r="G128" s="125"/>
      <c r="H128" s="125"/>
      <c r="I128" s="125">
        <f>I116+I110+I103+I97+I89+I83+I77+I71+I65+I50+I41+I35+I29+I22</f>
        <v>30</v>
      </c>
      <c r="J128" s="68"/>
      <c r="K128" s="165"/>
      <c r="L128" s="71"/>
    </row>
    <row r="129" spans="1:12" ht="15" customHeight="1">
      <c r="A129" s="285" t="s">
        <v>96</v>
      </c>
      <c r="B129" s="286"/>
      <c r="C129" s="286"/>
      <c r="D129" s="286"/>
      <c r="E129" s="286"/>
      <c r="F129" s="286"/>
      <c r="G129" s="286"/>
      <c r="H129" s="286"/>
      <c r="I129" s="286"/>
      <c r="J129" s="286"/>
      <c r="K129" s="286"/>
      <c r="L129" s="287"/>
    </row>
    <row r="130" spans="1:12" ht="15" customHeight="1">
      <c r="A130" s="106" t="s">
        <v>150</v>
      </c>
      <c r="B130" s="298" t="s">
        <v>147</v>
      </c>
      <c r="C130" s="299"/>
      <c r="D130" s="299"/>
      <c r="E130" s="299"/>
      <c r="F130" s="299"/>
      <c r="G130" s="299"/>
      <c r="H130" s="299"/>
      <c r="I130" s="299"/>
      <c r="J130" s="299"/>
      <c r="K130" s="299"/>
      <c r="L130" s="300"/>
    </row>
    <row r="131" spans="1:12" ht="15" customHeight="1">
      <c r="A131" s="106" t="s">
        <v>149</v>
      </c>
      <c r="B131" s="298" t="s">
        <v>148</v>
      </c>
      <c r="C131" s="299"/>
      <c r="D131" s="299"/>
      <c r="E131" s="299"/>
      <c r="F131" s="299"/>
      <c r="G131" s="299"/>
      <c r="H131" s="299"/>
      <c r="I131" s="299"/>
      <c r="J131" s="299"/>
      <c r="K131" s="299"/>
      <c r="L131" s="300"/>
    </row>
    <row r="132" spans="1:12" ht="15" customHeight="1">
      <c r="A132" s="166"/>
      <c r="B132" s="166" t="s">
        <v>49</v>
      </c>
      <c r="C132" s="166"/>
      <c r="D132" s="166"/>
      <c r="E132" s="166"/>
      <c r="F132" s="166"/>
      <c r="G132" s="166"/>
      <c r="H132" s="166"/>
      <c r="I132" s="166"/>
      <c r="J132" s="166"/>
      <c r="K132" s="166"/>
      <c r="L132" s="291" t="s">
        <v>304</v>
      </c>
    </row>
    <row r="133" spans="1:12" ht="15" customHeight="1">
      <c r="A133" s="208" t="s">
        <v>60</v>
      </c>
      <c r="B133" s="254" t="s">
        <v>183</v>
      </c>
      <c r="C133" s="272">
        <v>2017</v>
      </c>
      <c r="D133" s="144">
        <f>I133</f>
        <v>787.715</v>
      </c>
      <c r="E133" s="144">
        <v>0</v>
      </c>
      <c r="F133" s="144"/>
      <c r="G133" s="144"/>
      <c r="H133" s="144">
        <v>0</v>
      </c>
      <c r="I133" s="144">
        <v>787.715</v>
      </c>
      <c r="J133" s="166"/>
      <c r="K133" s="166" t="s">
        <v>176</v>
      </c>
      <c r="L133" s="292"/>
    </row>
    <row r="134" spans="1:12" ht="15" customHeight="1">
      <c r="A134" s="209"/>
      <c r="B134" s="255"/>
      <c r="C134" s="272"/>
      <c r="D134" s="67">
        <f>I134</f>
        <v>33.923</v>
      </c>
      <c r="E134" s="67">
        <v>0</v>
      </c>
      <c r="F134" s="67"/>
      <c r="G134" s="67"/>
      <c r="H134" s="67">
        <v>0</v>
      </c>
      <c r="I134" s="67">
        <v>33.923</v>
      </c>
      <c r="J134" s="166"/>
      <c r="K134" s="166" t="s">
        <v>56</v>
      </c>
      <c r="L134" s="292"/>
    </row>
    <row r="135" spans="1:12" ht="15" customHeight="1">
      <c r="A135" s="209"/>
      <c r="B135" s="255"/>
      <c r="C135" s="158">
        <v>2018</v>
      </c>
      <c r="D135" s="67">
        <f>I135</f>
        <v>0</v>
      </c>
      <c r="E135" s="67">
        <v>0</v>
      </c>
      <c r="F135" s="67"/>
      <c r="G135" s="67"/>
      <c r="H135" s="67">
        <v>0</v>
      </c>
      <c r="I135" s="67">
        <v>0</v>
      </c>
      <c r="J135" s="166"/>
      <c r="K135" s="166"/>
      <c r="L135" s="292"/>
    </row>
    <row r="136" spans="1:12" ht="15" customHeight="1">
      <c r="A136" s="209"/>
      <c r="B136" s="255"/>
      <c r="C136" s="102">
        <v>2019</v>
      </c>
      <c r="D136" s="103">
        <f>I136</f>
        <v>0</v>
      </c>
      <c r="E136" s="103">
        <v>0</v>
      </c>
      <c r="F136" s="103"/>
      <c r="G136" s="103"/>
      <c r="H136" s="103">
        <v>0</v>
      </c>
      <c r="I136" s="103">
        <v>0</v>
      </c>
      <c r="J136" s="104"/>
      <c r="K136" s="166"/>
      <c r="L136" s="292"/>
    </row>
    <row r="137" spans="1:12" ht="15" customHeight="1">
      <c r="A137" s="209"/>
      <c r="B137" s="255"/>
      <c r="C137" s="158">
        <v>2020</v>
      </c>
      <c r="D137" s="67">
        <f>J137</f>
        <v>0</v>
      </c>
      <c r="E137" s="67">
        <v>0</v>
      </c>
      <c r="F137" s="67"/>
      <c r="G137" s="67"/>
      <c r="H137" s="72">
        <v>0</v>
      </c>
      <c r="I137" s="72">
        <v>0</v>
      </c>
      <c r="J137" s="68"/>
      <c r="K137" s="165"/>
      <c r="L137" s="292"/>
    </row>
    <row r="138" spans="1:12" ht="15" customHeight="1">
      <c r="A138" s="209"/>
      <c r="B138" s="255"/>
      <c r="C138" s="158">
        <v>2021</v>
      </c>
      <c r="D138" s="67">
        <v>0</v>
      </c>
      <c r="E138" s="67">
        <v>0</v>
      </c>
      <c r="F138" s="67"/>
      <c r="G138" s="67"/>
      <c r="H138" s="72">
        <v>0</v>
      </c>
      <c r="I138" s="72">
        <v>0</v>
      </c>
      <c r="J138" s="68"/>
      <c r="K138" s="165"/>
      <c r="L138" s="292"/>
    </row>
    <row r="139" spans="1:12" ht="15" customHeight="1">
      <c r="A139" s="210"/>
      <c r="B139" s="256"/>
      <c r="C139" s="158">
        <v>2022</v>
      </c>
      <c r="D139" s="67">
        <f>I139</f>
        <v>0</v>
      </c>
      <c r="E139" s="67"/>
      <c r="F139" s="67"/>
      <c r="G139" s="67"/>
      <c r="H139" s="72"/>
      <c r="I139" s="72">
        <v>0</v>
      </c>
      <c r="J139" s="68"/>
      <c r="K139" s="165"/>
      <c r="L139" s="292"/>
    </row>
    <row r="140" spans="1:12" ht="15" customHeight="1">
      <c r="A140" s="208" t="s">
        <v>61</v>
      </c>
      <c r="B140" s="254" t="s">
        <v>184</v>
      </c>
      <c r="C140" s="158">
        <v>2017</v>
      </c>
      <c r="D140" s="144">
        <f aca="true" t="shared" si="3" ref="D140:D165">I140</f>
        <v>1349.864</v>
      </c>
      <c r="E140" s="144">
        <v>0</v>
      </c>
      <c r="F140" s="144"/>
      <c r="G140" s="144"/>
      <c r="H140" s="73">
        <v>0</v>
      </c>
      <c r="I140" s="73">
        <v>1349.864</v>
      </c>
      <c r="J140" s="68"/>
      <c r="K140" s="165" t="s">
        <v>51</v>
      </c>
      <c r="L140" s="292"/>
    </row>
    <row r="141" spans="1:12" ht="15" customHeight="1">
      <c r="A141" s="209"/>
      <c r="B141" s="255"/>
      <c r="C141" s="158">
        <v>2018</v>
      </c>
      <c r="D141" s="144">
        <f t="shared" si="3"/>
        <v>0</v>
      </c>
      <c r="E141" s="144">
        <v>0</v>
      </c>
      <c r="F141" s="144"/>
      <c r="G141" s="144"/>
      <c r="H141" s="73">
        <v>0</v>
      </c>
      <c r="I141" s="73">
        <v>0</v>
      </c>
      <c r="J141" s="68"/>
      <c r="K141" s="165"/>
      <c r="L141" s="292"/>
    </row>
    <row r="142" spans="1:12" ht="15" customHeight="1">
      <c r="A142" s="209"/>
      <c r="B142" s="255"/>
      <c r="C142" s="158">
        <v>2019</v>
      </c>
      <c r="D142" s="144">
        <f t="shared" si="3"/>
        <v>0</v>
      </c>
      <c r="E142" s="144">
        <v>0</v>
      </c>
      <c r="F142" s="144"/>
      <c r="G142" s="144"/>
      <c r="H142" s="73">
        <v>0</v>
      </c>
      <c r="I142" s="73">
        <v>0</v>
      </c>
      <c r="J142" s="68"/>
      <c r="K142" s="165"/>
      <c r="L142" s="292"/>
    </row>
    <row r="143" spans="1:12" ht="30" customHeight="1">
      <c r="A143" s="209"/>
      <c r="B143" s="255"/>
      <c r="C143" s="158">
        <v>2020</v>
      </c>
      <c r="D143" s="144">
        <f t="shared" si="3"/>
        <v>0</v>
      </c>
      <c r="E143" s="144">
        <v>0</v>
      </c>
      <c r="F143" s="144"/>
      <c r="G143" s="144"/>
      <c r="H143" s="73">
        <v>0</v>
      </c>
      <c r="I143" s="73">
        <v>0</v>
      </c>
      <c r="J143" s="68"/>
      <c r="K143" s="165"/>
      <c r="L143" s="292"/>
    </row>
    <row r="144" spans="1:12" ht="17.25" customHeight="1">
      <c r="A144" s="209"/>
      <c r="B144" s="255"/>
      <c r="C144" s="158">
        <v>2021</v>
      </c>
      <c r="D144" s="144">
        <v>0</v>
      </c>
      <c r="E144" s="144">
        <v>0</v>
      </c>
      <c r="F144" s="144"/>
      <c r="G144" s="144"/>
      <c r="H144" s="73">
        <v>0</v>
      </c>
      <c r="I144" s="73">
        <v>0</v>
      </c>
      <c r="J144" s="68"/>
      <c r="K144" s="165"/>
      <c r="L144" s="292"/>
    </row>
    <row r="145" spans="1:12" ht="17.25" customHeight="1">
      <c r="A145" s="210"/>
      <c r="B145" s="256"/>
      <c r="C145" s="158">
        <v>2022</v>
      </c>
      <c r="D145" s="144">
        <f>I145</f>
        <v>0</v>
      </c>
      <c r="E145" s="144"/>
      <c r="F145" s="144"/>
      <c r="G145" s="144"/>
      <c r="H145" s="73"/>
      <c r="I145" s="73">
        <v>0</v>
      </c>
      <c r="J145" s="68"/>
      <c r="K145" s="165"/>
      <c r="L145" s="292"/>
    </row>
    <row r="146" spans="1:12" ht="15" customHeight="1">
      <c r="A146" s="208" t="s">
        <v>108</v>
      </c>
      <c r="B146" s="254" t="s">
        <v>185</v>
      </c>
      <c r="C146" s="158">
        <v>2017</v>
      </c>
      <c r="D146" s="144">
        <f t="shared" si="3"/>
        <v>85</v>
      </c>
      <c r="E146" s="144">
        <v>0</v>
      </c>
      <c r="F146" s="144"/>
      <c r="G146" s="144"/>
      <c r="H146" s="73">
        <v>0</v>
      </c>
      <c r="I146" s="73">
        <v>85</v>
      </c>
      <c r="J146" s="68"/>
      <c r="K146" s="165" t="s">
        <v>50</v>
      </c>
      <c r="L146" s="292"/>
    </row>
    <row r="147" spans="1:12" ht="15" customHeight="1">
      <c r="A147" s="209"/>
      <c r="B147" s="255"/>
      <c r="C147" s="158">
        <v>2018</v>
      </c>
      <c r="D147" s="144">
        <f t="shared" si="3"/>
        <v>0</v>
      </c>
      <c r="E147" s="144">
        <v>0</v>
      </c>
      <c r="F147" s="144"/>
      <c r="G147" s="144"/>
      <c r="H147" s="73">
        <v>0</v>
      </c>
      <c r="I147" s="73">
        <v>0</v>
      </c>
      <c r="J147" s="68"/>
      <c r="K147" s="165"/>
      <c r="L147" s="292"/>
    </row>
    <row r="148" spans="1:12" ht="15" customHeight="1">
      <c r="A148" s="209"/>
      <c r="B148" s="255"/>
      <c r="C148" s="158">
        <v>2019</v>
      </c>
      <c r="D148" s="144">
        <f t="shared" si="3"/>
        <v>0</v>
      </c>
      <c r="E148" s="144">
        <v>0</v>
      </c>
      <c r="F148" s="144"/>
      <c r="G148" s="144"/>
      <c r="H148" s="73">
        <v>0</v>
      </c>
      <c r="I148" s="73">
        <v>0</v>
      </c>
      <c r="J148" s="68"/>
      <c r="K148" s="165"/>
      <c r="L148" s="292"/>
    </row>
    <row r="149" spans="1:12" ht="15" customHeight="1">
      <c r="A149" s="209"/>
      <c r="B149" s="255"/>
      <c r="C149" s="158">
        <v>2020</v>
      </c>
      <c r="D149" s="144">
        <f t="shared" si="3"/>
        <v>0</v>
      </c>
      <c r="E149" s="144">
        <v>0</v>
      </c>
      <c r="F149" s="144"/>
      <c r="G149" s="144"/>
      <c r="H149" s="73">
        <v>0</v>
      </c>
      <c r="I149" s="73">
        <v>0</v>
      </c>
      <c r="J149" s="68"/>
      <c r="K149" s="165"/>
      <c r="L149" s="292"/>
    </row>
    <row r="150" spans="1:12" ht="15" customHeight="1">
      <c r="A150" s="209"/>
      <c r="B150" s="255"/>
      <c r="C150" s="158">
        <v>2021</v>
      </c>
      <c r="D150" s="144">
        <v>0</v>
      </c>
      <c r="E150" s="144">
        <v>0</v>
      </c>
      <c r="F150" s="144"/>
      <c r="G150" s="144"/>
      <c r="H150" s="73">
        <v>0</v>
      </c>
      <c r="I150" s="73">
        <v>0</v>
      </c>
      <c r="J150" s="68"/>
      <c r="K150" s="165"/>
      <c r="L150" s="292"/>
    </row>
    <row r="151" spans="1:12" ht="15" customHeight="1">
      <c r="A151" s="210"/>
      <c r="B151" s="256"/>
      <c r="C151" s="158">
        <v>2022</v>
      </c>
      <c r="D151" s="144">
        <f>I151</f>
        <v>0</v>
      </c>
      <c r="E151" s="144"/>
      <c r="F151" s="144"/>
      <c r="G151" s="144"/>
      <c r="H151" s="73"/>
      <c r="I151" s="73">
        <v>0</v>
      </c>
      <c r="J151" s="68"/>
      <c r="K151" s="165"/>
      <c r="L151" s="292"/>
    </row>
    <row r="152" spans="1:12" ht="15" customHeight="1">
      <c r="A152" s="208" t="s">
        <v>109</v>
      </c>
      <c r="B152" s="254" t="s">
        <v>186</v>
      </c>
      <c r="C152" s="272">
        <v>2017</v>
      </c>
      <c r="D152" s="144">
        <f t="shared" si="3"/>
        <v>338.66955</v>
      </c>
      <c r="E152" s="144">
        <v>0</v>
      </c>
      <c r="F152" s="144"/>
      <c r="G152" s="144"/>
      <c r="H152" s="73">
        <v>0</v>
      </c>
      <c r="I152" s="73">
        <v>338.66955</v>
      </c>
      <c r="J152" s="68"/>
      <c r="K152" s="165" t="s">
        <v>50</v>
      </c>
      <c r="L152" s="292"/>
    </row>
    <row r="153" spans="1:12" ht="15" customHeight="1">
      <c r="A153" s="209"/>
      <c r="B153" s="255"/>
      <c r="C153" s="272"/>
      <c r="D153" s="144">
        <f t="shared" si="3"/>
        <v>227.89</v>
      </c>
      <c r="E153" s="144">
        <v>0</v>
      </c>
      <c r="F153" s="144"/>
      <c r="G153" s="144"/>
      <c r="H153" s="73">
        <v>0</v>
      </c>
      <c r="I153" s="73">
        <v>227.89</v>
      </c>
      <c r="J153" s="68"/>
      <c r="K153" s="165" t="s">
        <v>167</v>
      </c>
      <c r="L153" s="292"/>
    </row>
    <row r="154" spans="1:12" ht="15" customHeight="1">
      <c r="A154" s="209"/>
      <c r="B154" s="255"/>
      <c r="C154" s="158">
        <v>2018</v>
      </c>
      <c r="D154" s="144">
        <f t="shared" si="3"/>
        <v>0</v>
      </c>
      <c r="E154" s="144">
        <v>0</v>
      </c>
      <c r="F154" s="144"/>
      <c r="G154" s="144"/>
      <c r="H154" s="73">
        <v>0</v>
      </c>
      <c r="I154" s="73">
        <v>0</v>
      </c>
      <c r="J154" s="68"/>
      <c r="K154" s="165"/>
      <c r="L154" s="292"/>
    </row>
    <row r="155" spans="1:12" ht="15" customHeight="1">
      <c r="A155" s="209"/>
      <c r="B155" s="255"/>
      <c r="C155" s="158">
        <v>2019</v>
      </c>
      <c r="D155" s="144">
        <f t="shared" si="3"/>
        <v>0</v>
      </c>
      <c r="E155" s="144">
        <v>0</v>
      </c>
      <c r="F155" s="144"/>
      <c r="G155" s="144"/>
      <c r="H155" s="73">
        <v>0</v>
      </c>
      <c r="I155" s="73">
        <v>0</v>
      </c>
      <c r="J155" s="68"/>
      <c r="K155" s="165"/>
      <c r="L155" s="292"/>
    </row>
    <row r="156" spans="1:12" ht="15" customHeight="1">
      <c r="A156" s="209"/>
      <c r="B156" s="255"/>
      <c r="C156" s="158">
        <v>2020</v>
      </c>
      <c r="D156" s="144">
        <f t="shared" si="3"/>
        <v>0</v>
      </c>
      <c r="E156" s="144">
        <v>0</v>
      </c>
      <c r="F156" s="144"/>
      <c r="G156" s="144"/>
      <c r="H156" s="73">
        <v>0</v>
      </c>
      <c r="I156" s="73">
        <v>0</v>
      </c>
      <c r="J156" s="68"/>
      <c r="K156" s="165"/>
      <c r="L156" s="292"/>
    </row>
    <row r="157" spans="1:12" ht="15" customHeight="1">
      <c r="A157" s="209"/>
      <c r="B157" s="255"/>
      <c r="C157" s="158">
        <v>2021</v>
      </c>
      <c r="D157" s="144">
        <v>0</v>
      </c>
      <c r="E157" s="144">
        <v>0</v>
      </c>
      <c r="F157" s="144"/>
      <c r="G157" s="144"/>
      <c r="H157" s="73">
        <v>0</v>
      </c>
      <c r="I157" s="73">
        <v>0</v>
      </c>
      <c r="J157" s="68"/>
      <c r="K157" s="165"/>
      <c r="L157" s="292"/>
    </row>
    <row r="158" spans="1:12" ht="15" customHeight="1">
      <c r="A158" s="210"/>
      <c r="B158" s="256"/>
      <c r="C158" s="158">
        <v>2022</v>
      </c>
      <c r="D158" s="144">
        <f>I158</f>
        <v>0</v>
      </c>
      <c r="E158" s="144"/>
      <c r="F158" s="144"/>
      <c r="G158" s="144"/>
      <c r="H158" s="73"/>
      <c r="I158" s="73">
        <v>0</v>
      </c>
      <c r="J158" s="68"/>
      <c r="K158" s="165"/>
      <c r="L158" s="292"/>
    </row>
    <row r="159" spans="1:12" ht="15" customHeight="1">
      <c r="A159" s="208" t="s">
        <v>110</v>
      </c>
      <c r="B159" s="254" t="s">
        <v>187</v>
      </c>
      <c r="C159" s="158">
        <v>2017</v>
      </c>
      <c r="D159" s="144">
        <f t="shared" si="3"/>
        <v>464</v>
      </c>
      <c r="E159" s="144">
        <v>0</v>
      </c>
      <c r="F159" s="144"/>
      <c r="G159" s="144"/>
      <c r="H159" s="73">
        <v>0</v>
      </c>
      <c r="I159" s="73">
        <v>464</v>
      </c>
      <c r="J159" s="68"/>
      <c r="K159" s="165" t="s">
        <v>57</v>
      </c>
      <c r="L159" s="292"/>
    </row>
    <row r="160" spans="1:12" ht="15" customHeight="1">
      <c r="A160" s="209"/>
      <c r="B160" s="255"/>
      <c r="C160" s="158">
        <v>2018</v>
      </c>
      <c r="D160" s="144">
        <f t="shared" si="3"/>
        <v>0</v>
      </c>
      <c r="E160" s="144">
        <v>0</v>
      </c>
      <c r="F160" s="144"/>
      <c r="G160" s="144"/>
      <c r="H160" s="73">
        <v>0</v>
      </c>
      <c r="I160" s="73">
        <v>0</v>
      </c>
      <c r="J160" s="68"/>
      <c r="K160" s="165"/>
      <c r="L160" s="292"/>
    </row>
    <row r="161" spans="1:12" ht="15" customHeight="1">
      <c r="A161" s="209"/>
      <c r="B161" s="255"/>
      <c r="C161" s="158">
        <v>2019</v>
      </c>
      <c r="D161" s="144">
        <f t="shared" si="3"/>
        <v>0</v>
      </c>
      <c r="E161" s="144">
        <v>0</v>
      </c>
      <c r="F161" s="144"/>
      <c r="G161" s="144"/>
      <c r="H161" s="73">
        <v>0</v>
      </c>
      <c r="I161" s="73">
        <v>0</v>
      </c>
      <c r="J161" s="68"/>
      <c r="K161" s="165"/>
      <c r="L161" s="292"/>
    </row>
    <row r="162" spans="1:12" ht="19.5" customHeight="1">
      <c r="A162" s="209"/>
      <c r="B162" s="255"/>
      <c r="C162" s="158">
        <v>2020</v>
      </c>
      <c r="D162" s="144">
        <f t="shared" si="3"/>
        <v>0</v>
      </c>
      <c r="E162" s="144">
        <v>0</v>
      </c>
      <c r="F162" s="144"/>
      <c r="G162" s="144"/>
      <c r="H162" s="73">
        <v>0</v>
      </c>
      <c r="I162" s="73">
        <v>0</v>
      </c>
      <c r="J162" s="68"/>
      <c r="K162" s="165"/>
      <c r="L162" s="292"/>
    </row>
    <row r="163" spans="1:12" ht="15" customHeight="1">
      <c r="A163" s="209"/>
      <c r="B163" s="255"/>
      <c r="C163" s="158">
        <v>2021</v>
      </c>
      <c r="D163" s="144">
        <v>0</v>
      </c>
      <c r="E163" s="144">
        <v>0</v>
      </c>
      <c r="F163" s="144"/>
      <c r="G163" s="144"/>
      <c r="H163" s="73">
        <v>0</v>
      </c>
      <c r="I163" s="73">
        <v>0</v>
      </c>
      <c r="J163" s="68"/>
      <c r="K163" s="165"/>
      <c r="L163" s="292"/>
    </row>
    <row r="164" spans="1:12" ht="15" customHeight="1">
      <c r="A164" s="210"/>
      <c r="B164" s="256"/>
      <c r="C164" s="158">
        <v>2022</v>
      </c>
      <c r="D164" s="144">
        <f>I1661</f>
        <v>0</v>
      </c>
      <c r="E164" s="144"/>
      <c r="F164" s="144"/>
      <c r="G164" s="144"/>
      <c r="H164" s="73"/>
      <c r="I164" s="73">
        <v>0</v>
      </c>
      <c r="J164" s="68"/>
      <c r="K164" s="165"/>
      <c r="L164" s="292"/>
    </row>
    <row r="165" spans="1:12" s="15" customFormat="1" ht="15" customHeight="1">
      <c r="A165" s="208" t="s">
        <v>177</v>
      </c>
      <c r="B165" s="254" t="s">
        <v>170</v>
      </c>
      <c r="C165" s="158">
        <v>2017</v>
      </c>
      <c r="D165" s="144">
        <f t="shared" si="3"/>
        <v>0</v>
      </c>
      <c r="E165" s="144">
        <v>0</v>
      </c>
      <c r="F165" s="144"/>
      <c r="G165" s="144"/>
      <c r="H165" s="73">
        <v>0</v>
      </c>
      <c r="I165" s="73">
        <v>0</v>
      </c>
      <c r="J165" s="68"/>
      <c r="K165" s="165"/>
      <c r="L165" s="292"/>
    </row>
    <row r="166" spans="1:12" s="15" customFormat="1" ht="17.25" customHeight="1">
      <c r="A166" s="209"/>
      <c r="B166" s="258"/>
      <c r="C166" s="160">
        <v>2018</v>
      </c>
      <c r="D166" s="163">
        <f>I166</f>
        <v>195</v>
      </c>
      <c r="E166" s="163">
        <v>0</v>
      </c>
      <c r="F166" s="163"/>
      <c r="G166" s="163"/>
      <c r="H166" s="163">
        <v>0</v>
      </c>
      <c r="I166" s="163">
        <f>200-5</f>
        <v>195</v>
      </c>
      <c r="J166" s="68"/>
      <c r="K166" s="166" t="s">
        <v>171</v>
      </c>
      <c r="L166" s="292"/>
    </row>
    <row r="167" spans="1:12" s="15" customFormat="1" ht="17.25" customHeight="1">
      <c r="A167" s="209"/>
      <c r="B167" s="258"/>
      <c r="C167" s="160">
        <v>2019</v>
      </c>
      <c r="D167" s="163">
        <f>I167</f>
        <v>0</v>
      </c>
      <c r="E167" s="163">
        <v>0</v>
      </c>
      <c r="F167" s="163"/>
      <c r="G167" s="163"/>
      <c r="H167" s="163">
        <v>0</v>
      </c>
      <c r="I167" s="163">
        <v>0</v>
      </c>
      <c r="J167" s="68"/>
      <c r="K167" s="166"/>
      <c r="L167" s="292"/>
    </row>
    <row r="168" spans="1:12" s="15" customFormat="1" ht="14.25">
      <c r="A168" s="209"/>
      <c r="B168" s="258"/>
      <c r="C168" s="160">
        <v>2020</v>
      </c>
      <c r="D168" s="163">
        <f>SUM(E168:I168)</f>
        <v>0</v>
      </c>
      <c r="E168" s="163">
        <v>0</v>
      </c>
      <c r="F168" s="163"/>
      <c r="G168" s="163"/>
      <c r="H168" s="163">
        <v>0</v>
      </c>
      <c r="I168" s="163">
        <v>0</v>
      </c>
      <c r="J168" s="68"/>
      <c r="K168" s="166"/>
      <c r="L168" s="292"/>
    </row>
    <row r="169" spans="1:12" s="15" customFormat="1" ht="14.25">
      <c r="A169" s="209"/>
      <c r="B169" s="258"/>
      <c r="C169" s="160">
        <v>2021</v>
      </c>
      <c r="D169" s="163">
        <v>0</v>
      </c>
      <c r="E169" s="163">
        <v>0</v>
      </c>
      <c r="F169" s="163"/>
      <c r="G169" s="163"/>
      <c r="H169" s="163">
        <v>0</v>
      </c>
      <c r="I169" s="163">
        <v>0</v>
      </c>
      <c r="J169" s="68"/>
      <c r="K169" s="166"/>
      <c r="L169" s="292"/>
    </row>
    <row r="170" spans="1:12" s="15" customFormat="1" ht="14.25">
      <c r="A170" s="210"/>
      <c r="B170" s="259"/>
      <c r="C170" s="160">
        <v>2022</v>
      </c>
      <c r="D170" s="163">
        <f>I170</f>
        <v>0</v>
      </c>
      <c r="E170" s="163"/>
      <c r="F170" s="163"/>
      <c r="G170" s="163"/>
      <c r="H170" s="163"/>
      <c r="I170" s="163">
        <v>0</v>
      </c>
      <c r="J170" s="68"/>
      <c r="K170" s="166"/>
      <c r="L170" s="292"/>
    </row>
    <row r="171" spans="1:12" s="15" customFormat="1" ht="23.25" customHeight="1">
      <c r="A171" s="208" t="s">
        <v>178</v>
      </c>
      <c r="B171" s="254" t="s">
        <v>188</v>
      </c>
      <c r="C171" s="160">
        <v>2017</v>
      </c>
      <c r="D171" s="163">
        <f>I171</f>
        <v>0</v>
      </c>
      <c r="E171" s="163">
        <v>0</v>
      </c>
      <c r="F171" s="163"/>
      <c r="G171" s="163"/>
      <c r="H171" s="163">
        <v>0</v>
      </c>
      <c r="I171" s="163">
        <v>0</v>
      </c>
      <c r="J171" s="68"/>
      <c r="K171" s="166"/>
      <c r="L171" s="292"/>
    </row>
    <row r="172" spans="1:12" s="15" customFormat="1" ht="15" customHeight="1">
      <c r="A172" s="209"/>
      <c r="B172" s="255"/>
      <c r="C172" s="160">
        <v>2018</v>
      </c>
      <c r="D172" s="163">
        <f>I172</f>
        <v>1995.79</v>
      </c>
      <c r="E172" s="163">
        <v>0</v>
      </c>
      <c r="F172" s="163"/>
      <c r="G172" s="163"/>
      <c r="H172" s="163">
        <v>0</v>
      </c>
      <c r="I172" s="163">
        <f>1995.79</f>
        <v>1995.79</v>
      </c>
      <c r="J172" s="68"/>
      <c r="K172" s="281" t="s">
        <v>50</v>
      </c>
      <c r="L172" s="292"/>
    </row>
    <row r="173" spans="1:12" s="15" customFormat="1" ht="15" customHeight="1">
      <c r="A173" s="209"/>
      <c r="B173" s="255"/>
      <c r="C173" s="160">
        <v>2019</v>
      </c>
      <c r="D173" s="163">
        <f>E173+H173+I173</f>
        <v>0</v>
      </c>
      <c r="E173" s="163">
        <v>0</v>
      </c>
      <c r="F173" s="163"/>
      <c r="G173" s="163"/>
      <c r="H173" s="163">
        <v>0</v>
      </c>
      <c r="I173" s="163">
        <v>0</v>
      </c>
      <c r="J173" s="68"/>
      <c r="K173" s="281"/>
      <c r="L173" s="292"/>
    </row>
    <row r="174" spans="1:12" s="15" customFormat="1" ht="14.25" customHeight="1">
      <c r="A174" s="209"/>
      <c r="B174" s="255"/>
      <c r="C174" s="160">
        <v>2020</v>
      </c>
      <c r="D174" s="163">
        <f>SUM(E174:I174)</f>
        <v>0</v>
      </c>
      <c r="E174" s="163">
        <v>0</v>
      </c>
      <c r="F174" s="163"/>
      <c r="G174" s="163"/>
      <c r="H174" s="163">
        <v>0</v>
      </c>
      <c r="I174" s="163">
        <v>0</v>
      </c>
      <c r="J174" s="68"/>
      <c r="K174" s="281"/>
      <c r="L174" s="292"/>
    </row>
    <row r="175" spans="1:12" s="15" customFormat="1" ht="14.25" customHeight="1">
      <c r="A175" s="209"/>
      <c r="B175" s="255"/>
      <c r="C175" s="160">
        <v>2021</v>
      </c>
      <c r="D175" s="163">
        <v>0</v>
      </c>
      <c r="E175" s="163">
        <v>0</v>
      </c>
      <c r="F175" s="163"/>
      <c r="G175" s="163"/>
      <c r="H175" s="163">
        <v>0</v>
      </c>
      <c r="I175" s="163">
        <v>0</v>
      </c>
      <c r="J175" s="68"/>
      <c r="K175" s="165"/>
      <c r="L175" s="292"/>
    </row>
    <row r="176" spans="1:12" s="15" customFormat="1" ht="14.25" customHeight="1">
      <c r="A176" s="210"/>
      <c r="B176" s="256"/>
      <c r="C176" s="160">
        <v>2022</v>
      </c>
      <c r="D176" s="163">
        <f>I176</f>
        <v>0</v>
      </c>
      <c r="E176" s="163"/>
      <c r="F176" s="163"/>
      <c r="G176" s="163"/>
      <c r="H176" s="163"/>
      <c r="I176" s="163"/>
      <c r="J176" s="68"/>
      <c r="K176" s="165"/>
      <c r="L176" s="292"/>
    </row>
    <row r="177" spans="1:12" s="15" customFormat="1" ht="21" customHeight="1">
      <c r="A177" s="208" t="s">
        <v>179</v>
      </c>
      <c r="B177" s="254" t="s">
        <v>238</v>
      </c>
      <c r="C177" s="160">
        <v>2017</v>
      </c>
      <c r="D177" s="163">
        <f>I177</f>
        <v>0</v>
      </c>
      <c r="E177" s="163">
        <v>0</v>
      </c>
      <c r="F177" s="163"/>
      <c r="G177" s="163"/>
      <c r="H177" s="163">
        <v>0</v>
      </c>
      <c r="I177" s="163">
        <v>0</v>
      </c>
      <c r="J177" s="68"/>
      <c r="K177" s="165"/>
      <c r="L177" s="292"/>
    </row>
    <row r="178" spans="1:12" s="15" customFormat="1" ht="21" customHeight="1">
      <c r="A178" s="209"/>
      <c r="B178" s="255"/>
      <c r="C178" s="160">
        <v>2018</v>
      </c>
      <c r="D178" s="163">
        <f>I178</f>
        <v>430.48148</v>
      </c>
      <c r="E178" s="163">
        <v>0</v>
      </c>
      <c r="F178" s="163"/>
      <c r="G178" s="163"/>
      <c r="H178" s="163">
        <v>0</v>
      </c>
      <c r="I178" s="163">
        <v>430.48148</v>
      </c>
      <c r="J178" s="68"/>
      <c r="K178" s="295" t="s">
        <v>50</v>
      </c>
      <c r="L178" s="292"/>
    </row>
    <row r="179" spans="1:12" s="15" customFormat="1" ht="15" customHeight="1">
      <c r="A179" s="209"/>
      <c r="B179" s="255"/>
      <c r="C179" s="160">
        <v>2019</v>
      </c>
      <c r="D179" s="163">
        <f>I179+H179+E179</f>
        <v>19.10327</v>
      </c>
      <c r="E179" s="163">
        <v>0</v>
      </c>
      <c r="F179" s="163"/>
      <c r="G179" s="163"/>
      <c r="H179" s="163">
        <v>0</v>
      </c>
      <c r="I179" s="163">
        <v>19.10327</v>
      </c>
      <c r="J179" s="68"/>
      <c r="K179" s="296"/>
      <c r="L179" s="292"/>
    </row>
    <row r="180" spans="1:12" s="15" customFormat="1" ht="15" customHeight="1">
      <c r="A180" s="209"/>
      <c r="B180" s="255"/>
      <c r="C180" s="160">
        <v>2020</v>
      </c>
      <c r="D180" s="163">
        <f>I180+H180+E180</f>
        <v>0</v>
      </c>
      <c r="E180" s="163">
        <v>0</v>
      </c>
      <c r="F180" s="163"/>
      <c r="G180" s="163"/>
      <c r="H180" s="163">
        <v>0</v>
      </c>
      <c r="I180" s="163">
        <v>0</v>
      </c>
      <c r="J180" s="68"/>
      <c r="K180" s="296"/>
      <c r="L180" s="292"/>
    </row>
    <row r="181" spans="1:12" s="15" customFormat="1" ht="15" customHeight="1">
      <c r="A181" s="209"/>
      <c r="B181" s="255"/>
      <c r="C181" s="160">
        <v>2021</v>
      </c>
      <c r="D181" s="163">
        <v>0</v>
      </c>
      <c r="E181" s="163">
        <v>0</v>
      </c>
      <c r="F181" s="163"/>
      <c r="G181" s="163"/>
      <c r="H181" s="163">
        <v>0</v>
      </c>
      <c r="I181" s="163">
        <v>0</v>
      </c>
      <c r="J181" s="68"/>
      <c r="K181" s="296"/>
      <c r="L181" s="292"/>
    </row>
    <row r="182" spans="1:12" s="15" customFormat="1" ht="15" customHeight="1">
      <c r="A182" s="210"/>
      <c r="B182" s="256"/>
      <c r="C182" s="160">
        <v>2022</v>
      </c>
      <c r="D182" s="163">
        <f>I1838</f>
        <v>0</v>
      </c>
      <c r="E182" s="163"/>
      <c r="F182" s="163"/>
      <c r="G182" s="163"/>
      <c r="H182" s="163"/>
      <c r="I182" s="163">
        <v>0</v>
      </c>
      <c r="J182" s="68"/>
      <c r="K182" s="296"/>
      <c r="L182" s="292"/>
    </row>
    <row r="183" spans="1:12" s="15" customFormat="1" ht="17.25" customHeight="1">
      <c r="A183" s="208" t="s">
        <v>180</v>
      </c>
      <c r="B183" s="254" t="s">
        <v>195</v>
      </c>
      <c r="C183" s="160">
        <v>2017</v>
      </c>
      <c r="D183" s="163">
        <f>I183</f>
        <v>0</v>
      </c>
      <c r="E183" s="163">
        <v>0</v>
      </c>
      <c r="F183" s="163"/>
      <c r="G183" s="163"/>
      <c r="H183" s="163">
        <v>0</v>
      </c>
      <c r="I183" s="163">
        <v>0</v>
      </c>
      <c r="J183" s="68"/>
      <c r="K183" s="297"/>
      <c r="L183" s="292"/>
    </row>
    <row r="184" spans="1:12" s="15" customFormat="1" ht="17.25" customHeight="1">
      <c r="A184" s="209"/>
      <c r="B184" s="255"/>
      <c r="C184" s="160">
        <v>2018</v>
      </c>
      <c r="D184" s="163">
        <f>E184+H184+I184</f>
        <v>99</v>
      </c>
      <c r="E184" s="163">
        <v>0</v>
      </c>
      <c r="F184" s="163"/>
      <c r="G184" s="163"/>
      <c r="H184" s="163">
        <v>0</v>
      </c>
      <c r="I184" s="163">
        <f>700-601</f>
        <v>99</v>
      </c>
      <c r="J184" s="68"/>
      <c r="K184" s="166" t="s">
        <v>50</v>
      </c>
      <c r="L184" s="292"/>
    </row>
    <row r="185" spans="1:12" s="15" customFormat="1" ht="26.25" customHeight="1">
      <c r="A185" s="209"/>
      <c r="B185" s="255"/>
      <c r="C185" s="160">
        <v>2019</v>
      </c>
      <c r="D185" s="163">
        <f>E185+H185+I185</f>
        <v>1466.86667</v>
      </c>
      <c r="E185" s="163">
        <v>0</v>
      </c>
      <c r="F185" s="163"/>
      <c r="G185" s="163"/>
      <c r="H185" s="163">
        <v>0</v>
      </c>
      <c r="I185" s="163">
        <f>1466.86667</f>
        <v>1466.86667</v>
      </c>
      <c r="J185" s="68"/>
      <c r="K185" s="141" t="s">
        <v>50</v>
      </c>
      <c r="L185" s="292"/>
    </row>
    <row r="186" spans="1:12" s="15" customFormat="1" ht="21" customHeight="1">
      <c r="A186" s="209"/>
      <c r="B186" s="255"/>
      <c r="C186" s="160">
        <v>2020</v>
      </c>
      <c r="D186" s="163">
        <f>E186+H186+I186</f>
        <v>1466.867</v>
      </c>
      <c r="E186" s="163">
        <v>0</v>
      </c>
      <c r="F186" s="163"/>
      <c r="G186" s="163"/>
      <c r="H186" s="163">
        <v>0</v>
      </c>
      <c r="I186" s="163">
        <v>1466.867</v>
      </c>
      <c r="J186" s="68"/>
      <c r="K186" s="166"/>
      <c r="L186" s="292"/>
    </row>
    <row r="187" spans="1:12" s="15" customFormat="1" ht="21" customHeight="1">
      <c r="A187" s="209"/>
      <c r="B187" s="255"/>
      <c r="C187" s="160">
        <v>2021</v>
      </c>
      <c r="D187" s="163">
        <v>0</v>
      </c>
      <c r="E187" s="163">
        <v>0</v>
      </c>
      <c r="F187" s="163"/>
      <c r="G187" s="163"/>
      <c r="H187" s="163">
        <v>0</v>
      </c>
      <c r="I187" s="163">
        <v>0</v>
      </c>
      <c r="J187" s="68"/>
      <c r="K187" s="166"/>
      <c r="L187" s="292"/>
    </row>
    <row r="188" spans="1:12" s="15" customFormat="1" ht="21" customHeight="1">
      <c r="A188" s="210"/>
      <c r="B188" s="256"/>
      <c r="C188" s="160">
        <v>2022</v>
      </c>
      <c r="D188" s="163">
        <f>I188</f>
        <v>0</v>
      </c>
      <c r="E188" s="163"/>
      <c r="F188" s="163"/>
      <c r="G188" s="163"/>
      <c r="H188" s="163"/>
      <c r="I188" s="163">
        <v>0</v>
      </c>
      <c r="J188" s="68"/>
      <c r="K188" s="166"/>
      <c r="L188" s="292"/>
    </row>
    <row r="189" spans="1:12" s="15" customFormat="1" ht="21" customHeight="1">
      <c r="A189" s="208" t="s">
        <v>181</v>
      </c>
      <c r="B189" s="254" t="s">
        <v>189</v>
      </c>
      <c r="C189" s="160">
        <v>2017</v>
      </c>
      <c r="D189" s="163">
        <f>I189</f>
        <v>0</v>
      </c>
      <c r="E189" s="163">
        <v>0</v>
      </c>
      <c r="F189" s="163"/>
      <c r="G189" s="163"/>
      <c r="H189" s="163">
        <v>0</v>
      </c>
      <c r="I189" s="163">
        <v>0</v>
      </c>
      <c r="J189" s="68"/>
      <c r="K189" s="166"/>
      <c r="L189" s="292"/>
    </row>
    <row r="190" spans="1:12" s="15" customFormat="1" ht="13.5" customHeight="1">
      <c r="A190" s="209"/>
      <c r="B190" s="255"/>
      <c r="C190" s="160">
        <v>2018</v>
      </c>
      <c r="D190" s="163">
        <f>SUM(E190:I190)</f>
        <v>0</v>
      </c>
      <c r="E190" s="163">
        <v>0</v>
      </c>
      <c r="F190" s="163"/>
      <c r="G190" s="163"/>
      <c r="H190" s="163">
        <v>0</v>
      </c>
      <c r="I190" s="163">
        <v>0</v>
      </c>
      <c r="J190" s="68"/>
      <c r="K190" s="284" t="s">
        <v>50</v>
      </c>
      <c r="L190" s="292"/>
    </row>
    <row r="191" spans="1:12" s="15" customFormat="1" ht="15" customHeight="1">
      <c r="A191" s="209"/>
      <c r="B191" s="255"/>
      <c r="C191" s="160">
        <v>2019</v>
      </c>
      <c r="D191" s="163">
        <f>SUM(E191:I191)</f>
        <v>0</v>
      </c>
      <c r="E191" s="163">
        <v>0</v>
      </c>
      <c r="F191" s="163"/>
      <c r="G191" s="163"/>
      <c r="H191" s="163">
        <v>0</v>
      </c>
      <c r="I191" s="163">
        <v>0</v>
      </c>
      <c r="J191" s="68"/>
      <c r="K191" s="284"/>
      <c r="L191" s="292"/>
    </row>
    <row r="192" spans="1:12" s="15" customFormat="1" ht="14.25">
      <c r="A192" s="209"/>
      <c r="B192" s="255"/>
      <c r="C192" s="160">
        <v>2020</v>
      </c>
      <c r="D192" s="163">
        <f>SUM(E192:I192)</f>
        <v>0</v>
      </c>
      <c r="E192" s="163">
        <v>0</v>
      </c>
      <c r="F192" s="163"/>
      <c r="G192" s="163"/>
      <c r="H192" s="163">
        <v>0</v>
      </c>
      <c r="I192" s="163">
        <v>0</v>
      </c>
      <c r="J192" s="68"/>
      <c r="K192" s="284"/>
      <c r="L192" s="292"/>
    </row>
    <row r="193" spans="1:12" s="15" customFormat="1" ht="14.25">
      <c r="A193" s="209"/>
      <c r="B193" s="255"/>
      <c r="C193" s="160">
        <v>2021</v>
      </c>
      <c r="D193" s="163">
        <v>0</v>
      </c>
      <c r="E193" s="163">
        <v>0</v>
      </c>
      <c r="F193" s="163"/>
      <c r="G193" s="163"/>
      <c r="H193" s="163">
        <v>0</v>
      </c>
      <c r="I193" s="163">
        <v>0</v>
      </c>
      <c r="J193" s="68"/>
      <c r="K193" s="165"/>
      <c r="L193" s="292"/>
    </row>
    <row r="194" spans="1:12" s="15" customFormat="1" ht="14.25">
      <c r="A194" s="210"/>
      <c r="B194" s="256"/>
      <c r="C194" s="160"/>
      <c r="D194" s="163">
        <v>0</v>
      </c>
      <c r="E194" s="163"/>
      <c r="F194" s="163"/>
      <c r="G194" s="163"/>
      <c r="H194" s="163"/>
      <c r="I194" s="163">
        <v>0</v>
      </c>
      <c r="J194" s="68"/>
      <c r="K194" s="165"/>
      <c r="L194" s="292"/>
    </row>
    <row r="195" spans="1:12" s="15" customFormat="1" ht="14.25" customHeight="1">
      <c r="A195" s="208" t="s">
        <v>200</v>
      </c>
      <c r="B195" s="245" t="s">
        <v>275</v>
      </c>
      <c r="C195" s="160">
        <v>2017</v>
      </c>
      <c r="D195" s="163">
        <f aca="true" t="shared" si="4" ref="D195:D203">I195</f>
        <v>0</v>
      </c>
      <c r="E195" s="163">
        <v>0</v>
      </c>
      <c r="F195" s="163"/>
      <c r="G195" s="163"/>
      <c r="H195" s="163">
        <v>0</v>
      </c>
      <c r="I195" s="163">
        <v>0</v>
      </c>
      <c r="J195" s="68"/>
      <c r="K195" s="165"/>
      <c r="L195" s="292"/>
    </row>
    <row r="196" spans="1:12" s="15" customFormat="1" ht="14.25">
      <c r="A196" s="209"/>
      <c r="B196" s="246"/>
      <c r="C196" s="160">
        <v>2018</v>
      </c>
      <c r="D196" s="163">
        <f t="shared" si="4"/>
        <v>210.241</v>
      </c>
      <c r="E196" s="163">
        <v>0</v>
      </c>
      <c r="F196" s="163"/>
      <c r="G196" s="163"/>
      <c r="H196" s="163">
        <v>0</v>
      </c>
      <c r="I196" s="163">
        <v>210.241</v>
      </c>
      <c r="J196" s="68"/>
      <c r="K196" s="165" t="s">
        <v>153</v>
      </c>
      <c r="L196" s="292"/>
    </row>
    <row r="197" spans="1:12" s="15" customFormat="1" ht="14.25">
      <c r="A197" s="209"/>
      <c r="B197" s="246"/>
      <c r="C197" s="160">
        <v>2018</v>
      </c>
      <c r="D197" s="163">
        <f t="shared" si="4"/>
        <v>312.53700000000003</v>
      </c>
      <c r="E197" s="163">
        <v>0</v>
      </c>
      <c r="F197" s="163"/>
      <c r="G197" s="163"/>
      <c r="H197" s="163">
        <v>0</v>
      </c>
      <c r="I197" s="163">
        <f>240+72.537</f>
        <v>312.53700000000003</v>
      </c>
      <c r="J197" s="68"/>
      <c r="K197" s="165" t="s">
        <v>52</v>
      </c>
      <c r="L197" s="292"/>
    </row>
    <row r="198" spans="1:12" s="15" customFormat="1" ht="14.25">
      <c r="A198" s="209"/>
      <c r="B198" s="246"/>
      <c r="C198" s="160">
        <v>2018</v>
      </c>
      <c r="D198" s="163">
        <f t="shared" si="4"/>
        <v>150</v>
      </c>
      <c r="E198" s="163">
        <v>0</v>
      </c>
      <c r="F198" s="163"/>
      <c r="G198" s="163"/>
      <c r="H198" s="163">
        <v>0</v>
      </c>
      <c r="I198" s="163">
        <v>150</v>
      </c>
      <c r="J198" s="68"/>
      <c r="K198" s="165" t="s">
        <v>51</v>
      </c>
      <c r="L198" s="292"/>
    </row>
    <row r="199" spans="1:12" s="15" customFormat="1" ht="14.25">
      <c r="A199" s="209"/>
      <c r="B199" s="246"/>
      <c r="C199" s="160">
        <v>2018</v>
      </c>
      <c r="D199" s="163">
        <f t="shared" si="4"/>
        <v>320</v>
      </c>
      <c r="E199" s="163">
        <v>0</v>
      </c>
      <c r="F199" s="163"/>
      <c r="G199" s="163"/>
      <c r="H199" s="163">
        <v>0</v>
      </c>
      <c r="I199" s="163">
        <v>320</v>
      </c>
      <c r="J199" s="68"/>
      <c r="K199" s="165" t="s">
        <v>56</v>
      </c>
      <c r="L199" s="292"/>
    </row>
    <row r="200" spans="1:12" s="15" customFormat="1" ht="14.25">
      <c r="A200" s="209"/>
      <c r="B200" s="246"/>
      <c r="C200" s="160">
        <v>2018</v>
      </c>
      <c r="D200" s="163">
        <f t="shared" si="4"/>
        <v>0</v>
      </c>
      <c r="E200" s="163">
        <v>0</v>
      </c>
      <c r="F200" s="163"/>
      <c r="G200" s="163"/>
      <c r="H200" s="163">
        <v>0</v>
      </c>
      <c r="I200" s="163">
        <v>0</v>
      </c>
      <c r="J200" s="68"/>
      <c r="K200" s="165" t="s">
        <v>198</v>
      </c>
      <c r="L200" s="292"/>
    </row>
    <row r="201" spans="1:12" s="15" customFormat="1" ht="14.25">
      <c r="A201" s="209"/>
      <c r="B201" s="246"/>
      <c r="C201" s="160">
        <v>2019</v>
      </c>
      <c r="D201" s="163">
        <f t="shared" si="4"/>
        <v>0</v>
      </c>
      <c r="E201" s="163">
        <v>0</v>
      </c>
      <c r="F201" s="163"/>
      <c r="G201" s="163"/>
      <c r="H201" s="163">
        <v>0</v>
      </c>
      <c r="I201" s="163">
        <v>0</v>
      </c>
      <c r="J201" s="68"/>
      <c r="K201" s="165"/>
      <c r="L201" s="292"/>
    </row>
    <row r="202" spans="1:12" s="15" customFormat="1" ht="14.25">
      <c r="A202" s="209"/>
      <c r="B202" s="246"/>
      <c r="C202" s="160">
        <v>2020</v>
      </c>
      <c r="D202" s="163">
        <f t="shared" si="4"/>
        <v>0</v>
      </c>
      <c r="E202" s="163">
        <v>0</v>
      </c>
      <c r="F202" s="163"/>
      <c r="G202" s="163"/>
      <c r="H202" s="163">
        <v>0</v>
      </c>
      <c r="I202" s="163">
        <v>0</v>
      </c>
      <c r="J202" s="68"/>
      <c r="K202" s="165"/>
      <c r="L202" s="292"/>
    </row>
    <row r="203" spans="1:12" s="15" customFormat="1" ht="14.25">
      <c r="A203" s="209"/>
      <c r="B203" s="246"/>
      <c r="C203" s="160">
        <v>2021</v>
      </c>
      <c r="D203" s="163">
        <f t="shared" si="4"/>
        <v>0</v>
      </c>
      <c r="E203" s="163">
        <v>0</v>
      </c>
      <c r="F203" s="163"/>
      <c r="G203" s="163"/>
      <c r="H203" s="163">
        <v>0</v>
      </c>
      <c r="I203" s="163">
        <v>0</v>
      </c>
      <c r="J203" s="68"/>
      <c r="K203" s="165"/>
      <c r="L203" s="292"/>
    </row>
    <row r="204" spans="1:12" s="15" customFormat="1" ht="14.25">
      <c r="A204" s="210"/>
      <c r="B204" s="247"/>
      <c r="C204" s="160">
        <v>2022</v>
      </c>
      <c r="D204" s="163">
        <v>0</v>
      </c>
      <c r="E204" s="163"/>
      <c r="F204" s="163"/>
      <c r="G204" s="163"/>
      <c r="H204" s="163"/>
      <c r="I204" s="163">
        <v>0</v>
      </c>
      <c r="J204" s="68"/>
      <c r="K204" s="165"/>
      <c r="L204" s="292"/>
    </row>
    <row r="205" spans="1:12" s="15" customFormat="1" ht="14.25" customHeight="1">
      <c r="A205" s="208" t="s">
        <v>214</v>
      </c>
      <c r="B205" s="245" t="s">
        <v>295</v>
      </c>
      <c r="C205" s="160">
        <v>2017</v>
      </c>
      <c r="D205" s="163">
        <f>H205</f>
        <v>0</v>
      </c>
      <c r="E205" s="163">
        <v>0</v>
      </c>
      <c r="F205" s="163"/>
      <c r="G205" s="163"/>
      <c r="H205" s="163">
        <v>0</v>
      </c>
      <c r="I205" s="163">
        <v>0</v>
      </c>
      <c r="J205" s="68"/>
      <c r="K205" s="165"/>
      <c r="L205" s="292"/>
    </row>
    <row r="206" spans="1:12" s="15" customFormat="1" ht="14.25">
      <c r="A206" s="209"/>
      <c r="B206" s="246"/>
      <c r="C206" s="160">
        <v>2018</v>
      </c>
      <c r="D206" s="163">
        <f>H206+I206</f>
        <v>291.78</v>
      </c>
      <c r="E206" s="163">
        <v>0</v>
      </c>
      <c r="F206" s="163"/>
      <c r="G206" s="163"/>
      <c r="H206" s="163">
        <v>0</v>
      </c>
      <c r="I206" s="163">
        <v>291.78</v>
      </c>
      <c r="J206" s="68"/>
      <c r="K206" s="165" t="s">
        <v>56</v>
      </c>
      <c r="L206" s="292"/>
    </row>
    <row r="207" spans="1:12" s="15" customFormat="1" ht="14.25">
      <c r="A207" s="209"/>
      <c r="B207" s="246"/>
      <c r="C207" s="160">
        <v>2019</v>
      </c>
      <c r="D207" s="163">
        <f>H207</f>
        <v>0</v>
      </c>
      <c r="E207" s="163">
        <v>0</v>
      </c>
      <c r="F207" s="163"/>
      <c r="G207" s="163"/>
      <c r="H207" s="163">
        <v>0</v>
      </c>
      <c r="I207" s="163">
        <v>0</v>
      </c>
      <c r="J207" s="68"/>
      <c r="K207" s="165"/>
      <c r="L207" s="292"/>
    </row>
    <row r="208" spans="1:12" s="15" customFormat="1" ht="14.25">
      <c r="A208" s="209"/>
      <c r="B208" s="246"/>
      <c r="C208" s="160">
        <v>2020</v>
      </c>
      <c r="D208" s="163">
        <f>H208</f>
        <v>0</v>
      </c>
      <c r="E208" s="163">
        <v>0</v>
      </c>
      <c r="F208" s="163"/>
      <c r="G208" s="163"/>
      <c r="H208" s="163">
        <v>0</v>
      </c>
      <c r="I208" s="163">
        <v>0</v>
      </c>
      <c r="J208" s="68"/>
      <c r="K208" s="165"/>
      <c r="L208" s="292"/>
    </row>
    <row r="209" spans="1:12" s="15" customFormat="1" ht="14.25">
      <c r="A209" s="209"/>
      <c r="B209" s="246"/>
      <c r="C209" s="160">
        <v>2021</v>
      </c>
      <c r="D209" s="163">
        <v>0</v>
      </c>
      <c r="E209" s="163">
        <v>0</v>
      </c>
      <c r="F209" s="163"/>
      <c r="G209" s="163"/>
      <c r="H209" s="163">
        <v>0</v>
      </c>
      <c r="I209" s="163">
        <v>0</v>
      </c>
      <c r="J209" s="68"/>
      <c r="K209" s="165"/>
      <c r="L209" s="292"/>
    </row>
    <row r="210" spans="1:12" s="15" customFormat="1" ht="14.25">
      <c r="A210" s="210"/>
      <c r="B210" s="247"/>
      <c r="C210" s="160">
        <v>2022</v>
      </c>
      <c r="D210" s="163">
        <v>0</v>
      </c>
      <c r="E210" s="163"/>
      <c r="F210" s="163"/>
      <c r="G210" s="163"/>
      <c r="H210" s="163"/>
      <c r="I210" s="163">
        <v>0</v>
      </c>
      <c r="J210" s="68"/>
      <c r="K210" s="165"/>
      <c r="L210" s="292"/>
    </row>
    <row r="211" spans="1:12" s="15" customFormat="1" ht="14.25" customHeight="1">
      <c r="A211" s="208" t="s">
        <v>215</v>
      </c>
      <c r="B211" s="245" t="s">
        <v>216</v>
      </c>
      <c r="C211" s="160">
        <v>2017</v>
      </c>
      <c r="D211" s="163">
        <f>H211</f>
        <v>0</v>
      </c>
      <c r="E211" s="163">
        <v>0</v>
      </c>
      <c r="F211" s="163"/>
      <c r="G211" s="163"/>
      <c r="H211" s="163">
        <v>0</v>
      </c>
      <c r="I211" s="163">
        <v>0</v>
      </c>
      <c r="J211" s="68"/>
      <c r="K211" s="165"/>
      <c r="L211" s="292"/>
    </row>
    <row r="212" spans="1:12" s="15" customFormat="1" ht="14.25" customHeight="1">
      <c r="A212" s="209"/>
      <c r="B212" s="246"/>
      <c r="C212" s="160">
        <v>2018</v>
      </c>
      <c r="D212" s="163">
        <f>I212</f>
        <v>195.434</v>
      </c>
      <c r="E212" s="163">
        <v>0</v>
      </c>
      <c r="F212" s="163"/>
      <c r="G212" s="163"/>
      <c r="H212" s="163">
        <v>0</v>
      </c>
      <c r="I212" s="163">
        <v>195.434</v>
      </c>
      <c r="J212" s="68"/>
      <c r="K212" s="165" t="s">
        <v>228</v>
      </c>
      <c r="L212" s="292"/>
    </row>
    <row r="213" spans="1:12" s="15" customFormat="1" ht="14.25">
      <c r="A213" s="209"/>
      <c r="B213" s="246"/>
      <c r="C213" s="160">
        <v>2018</v>
      </c>
      <c r="D213" s="163">
        <f>H213+I213</f>
        <v>537.09719</v>
      </c>
      <c r="E213" s="163">
        <v>0</v>
      </c>
      <c r="F213" s="163"/>
      <c r="G213" s="163"/>
      <c r="H213" s="163">
        <v>0</v>
      </c>
      <c r="I213" s="163">
        <f>537.09719</f>
        <v>537.09719</v>
      </c>
      <c r="J213" s="68"/>
      <c r="K213" s="162" t="s">
        <v>198</v>
      </c>
      <c r="L213" s="292"/>
    </row>
    <row r="214" spans="1:12" s="15" customFormat="1" ht="14.25">
      <c r="A214" s="209"/>
      <c r="B214" s="246"/>
      <c r="C214" s="160">
        <v>2019</v>
      </c>
      <c r="D214" s="163">
        <f>H214</f>
        <v>0</v>
      </c>
      <c r="E214" s="163">
        <v>0</v>
      </c>
      <c r="F214" s="163"/>
      <c r="G214" s="163"/>
      <c r="H214" s="163">
        <v>0</v>
      </c>
      <c r="I214" s="163">
        <v>0</v>
      </c>
      <c r="J214" s="68"/>
      <c r="K214" s="165"/>
      <c r="L214" s="292"/>
    </row>
    <row r="215" spans="1:12" s="15" customFormat="1" ht="14.25">
      <c r="A215" s="209"/>
      <c r="B215" s="246"/>
      <c r="C215" s="160">
        <v>2020</v>
      </c>
      <c r="D215" s="163">
        <f>H215</f>
        <v>0</v>
      </c>
      <c r="E215" s="163">
        <v>0</v>
      </c>
      <c r="F215" s="163"/>
      <c r="G215" s="163"/>
      <c r="H215" s="163">
        <v>0</v>
      </c>
      <c r="I215" s="163">
        <v>0</v>
      </c>
      <c r="J215" s="68"/>
      <c r="K215" s="165"/>
      <c r="L215" s="292"/>
    </row>
    <row r="216" spans="1:12" s="15" customFormat="1" ht="14.25">
      <c r="A216" s="209"/>
      <c r="B216" s="246"/>
      <c r="C216" s="160">
        <v>2021</v>
      </c>
      <c r="D216" s="163">
        <v>0</v>
      </c>
      <c r="E216" s="163">
        <v>0</v>
      </c>
      <c r="F216" s="163"/>
      <c r="G216" s="163"/>
      <c r="H216" s="163">
        <v>0</v>
      </c>
      <c r="I216" s="163">
        <v>0</v>
      </c>
      <c r="J216" s="68"/>
      <c r="K216" s="165"/>
      <c r="L216" s="292"/>
    </row>
    <row r="217" spans="1:12" s="15" customFormat="1" ht="14.25">
      <c r="A217" s="210"/>
      <c r="B217" s="247"/>
      <c r="C217" s="160">
        <v>2022</v>
      </c>
      <c r="D217" s="163">
        <v>0</v>
      </c>
      <c r="E217" s="163"/>
      <c r="F217" s="163"/>
      <c r="G217" s="163"/>
      <c r="H217" s="163"/>
      <c r="I217" s="163">
        <v>0</v>
      </c>
      <c r="J217" s="68"/>
      <c r="K217" s="165"/>
      <c r="L217" s="292"/>
    </row>
    <row r="218" spans="1:12" s="15" customFormat="1" ht="15" customHeight="1">
      <c r="A218" s="150" t="s">
        <v>217</v>
      </c>
      <c r="B218" s="254" t="s">
        <v>223</v>
      </c>
      <c r="C218" s="160">
        <v>2017</v>
      </c>
      <c r="D218" s="163">
        <v>0</v>
      </c>
      <c r="E218" s="163">
        <v>0</v>
      </c>
      <c r="F218" s="163"/>
      <c r="G218" s="163"/>
      <c r="H218" s="163">
        <v>0</v>
      </c>
      <c r="I218" s="163">
        <v>0</v>
      </c>
      <c r="J218" s="68"/>
      <c r="K218" s="165"/>
      <c r="L218" s="292"/>
    </row>
    <row r="219" spans="1:12" s="15" customFormat="1" ht="14.25">
      <c r="A219" s="151"/>
      <c r="B219" s="255"/>
      <c r="C219" s="160">
        <v>2018</v>
      </c>
      <c r="D219" s="163">
        <f>I219</f>
        <v>515.42</v>
      </c>
      <c r="E219" s="163">
        <v>0</v>
      </c>
      <c r="F219" s="163"/>
      <c r="G219" s="163"/>
      <c r="H219" s="163">
        <v>0</v>
      </c>
      <c r="I219" s="163">
        <f>515.5-0.08</f>
        <v>515.42</v>
      </c>
      <c r="J219" s="68"/>
      <c r="K219" s="165" t="s">
        <v>55</v>
      </c>
      <c r="L219" s="292"/>
    </row>
    <row r="220" spans="1:12" s="15" customFormat="1" ht="14.25">
      <c r="A220" s="151"/>
      <c r="B220" s="255"/>
      <c r="C220" s="160">
        <v>2019</v>
      </c>
      <c r="D220" s="163">
        <v>0</v>
      </c>
      <c r="E220" s="163">
        <v>0</v>
      </c>
      <c r="F220" s="163"/>
      <c r="G220" s="163"/>
      <c r="H220" s="163">
        <v>0</v>
      </c>
      <c r="I220" s="163">
        <v>0</v>
      </c>
      <c r="J220" s="68"/>
      <c r="K220" s="165"/>
      <c r="L220" s="292"/>
    </row>
    <row r="221" spans="1:12" s="15" customFormat="1" ht="14.25">
      <c r="A221" s="151"/>
      <c r="B221" s="255"/>
      <c r="C221" s="160">
        <v>2020</v>
      </c>
      <c r="D221" s="163">
        <v>0</v>
      </c>
      <c r="E221" s="163">
        <v>0</v>
      </c>
      <c r="F221" s="163"/>
      <c r="G221" s="163"/>
      <c r="H221" s="163">
        <v>0</v>
      </c>
      <c r="I221" s="163">
        <v>0</v>
      </c>
      <c r="J221" s="68"/>
      <c r="K221" s="165"/>
      <c r="L221" s="292"/>
    </row>
    <row r="222" spans="1:12" s="15" customFormat="1" ht="14.25">
      <c r="A222" s="151"/>
      <c r="B222" s="255"/>
      <c r="C222" s="160">
        <v>2021</v>
      </c>
      <c r="D222" s="163">
        <v>0</v>
      </c>
      <c r="E222" s="163">
        <v>0</v>
      </c>
      <c r="F222" s="163"/>
      <c r="G222" s="163"/>
      <c r="H222" s="163">
        <v>0</v>
      </c>
      <c r="I222" s="163">
        <v>0</v>
      </c>
      <c r="J222" s="68"/>
      <c r="K222" s="165"/>
      <c r="L222" s="292"/>
    </row>
    <row r="223" spans="1:12" s="15" customFormat="1" ht="14.25">
      <c r="A223" s="152"/>
      <c r="B223" s="256"/>
      <c r="C223" s="160">
        <v>2022</v>
      </c>
      <c r="D223" s="163">
        <v>0</v>
      </c>
      <c r="E223" s="163"/>
      <c r="F223" s="163"/>
      <c r="G223" s="163"/>
      <c r="H223" s="163"/>
      <c r="I223" s="163">
        <v>0</v>
      </c>
      <c r="J223" s="68"/>
      <c r="K223" s="165"/>
      <c r="L223" s="292"/>
    </row>
    <row r="224" spans="1:12" s="15" customFormat="1" ht="15" customHeight="1">
      <c r="A224" s="208" t="s">
        <v>218</v>
      </c>
      <c r="B224" s="254" t="s">
        <v>224</v>
      </c>
      <c r="C224" s="160">
        <v>2017</v>
      </c>
      <c r="D224" s="163">
        <v>0</v>
      </c>
      <c r="E224" s="163">
        <v>0</v>
      </c>
      <c r="F224" s="163"/>
      <c r="G224" s="163"/>
      <c r="H224" s="163">
        <v>0</v>
      </c>
      <c r="I224" s="163">
        <v>0</v>
      </c>
      <c r="J224" s="68"/>
      <c r="K224" s="165"/>
      <c r="L224" s="292"/>
    </row>
    <row r="225" spans="1:12" s="15" customFormat="1" ht="14.25">
      <c r="A225" s="209"/>
      <c r="B225" s="255"/>
      <c r="C225" s="160">
        <v>2018</v>
      </c>
      <c r="D225" s="163">
        <f>I225</f>
        <v>135.299</v>
      </c>
      <c r="E225" s="163">
        <v>0</v>
      </c>
      <c r="F225" s="163"/>
      <c r="G225" s="163"/>
      <c r="H225" s="163">
        <v>0</v>
      </c>
      <c r="I225" s="163">
        <v>135.299</v>
      </c>
      <c r="J225" s="68"/>
      <c r="K225" s="165" t="s">
        <v>56</v>
      </c>
      <c r="L225" s="292"/>
    </row>
    <row r="226" spans="1:12" s="15" customFormat="1" ht="14.25">
      <c r="A226" s="209"/>
      <c r="B226" s="255"/>
      <c r="C226" s="160">
        <v>2019</v>
      </c>
      <c r="D226" s="163">
        <v>0</v>
      </c>
      <c r="E226" s="163">
        <v>0</v>
      </c>
      <c r="F226" s="163"/>
      <c r="G226" s="163"/>
      <c r="H226" s="163">
        <v>0</v>
      </c>
      <c r="I226" s="163">
        <v>0</v>
      </c>
      <c r="J226" s="68"/>
      <c r="K226" s="165"/>
      <c r="L226" s="292"/>
    </row>
    <row r="227" spans="1:12" s="15" customFormat="1" ht="14.25">
      <c r="A227" s="209"/>
      <c r="B227" s="255"/>
      <c r="C227" s="160">
        <v>2020</v>
      </c>
      <c r="D227" s="163">
        <v>0</v>
      </c>
      <c r="E227" s="163">
        <v>0</v>
      </c>
      <c r="F227" s="163"/>
      <c r="G227" s="163"/>
      <c r="H227" s="163">
        <v>0</v>
      </c>
      <c r="I227" s="163">
        <v>0</v>
      </c>
      <c r="J227" s="68"/>
      <c r="K227" s="165"/>
      <c r="L227" s="292"/>
    </row>
    <row r="228" spans="1:12" s="15" customFormat="1" ht="14.25">
      <c r="A228" s="209"/>
      <c r="B228" s="255"/>
      <c r="C228" s="160">
        <v>2021</v>
      </c>
      <c r="D228" s="163">
        <v>0</v>
      </c>
      <c r="E228" s="163">
        <v>0</v>
      </c>
      <c r="F228" s="163"/>
      <c r="G228" s="163"/>
      <c r="H228" s="163">
        <v>0</v>
      </c>
      <c r="I228" s="163">
        <v>0</v>
      </c>
      <c r="J228" s="68"/>
      <c r="K228" s="165"/>
      <c r="L228" s="292"/>
    </row>
    <row r="229" spans="1:12" s="15" customFormat="1" ht="14.25">
      <c r="A229" s="210"/>
      <c r="B229" s="256"/>
      <c r="C229" s="160"/>
      <c r="D229" s="163">
        <v>0</v>
      </c>
      <c r="E229" s="163"/>
      <c r="F229" s="163"/>
      <c r="G229" s="163"/>
      <c r="H229" s="163"/>
      <c r="I229" s="163">
        <v>0</v>
      </c>
      <c r="J229" s="68"/>
      <c r="K229" s="165"/>
      <c r="L229" s="292"/>
    </row>
    <row r="230" spans="1:12" s="15" customFormat="1" ht="15" customHeight="1">
      <c r="A230" s="208" t="s">
        <v>219</v>
      </c>
      <c r="B230" s="254" t="s">
        <v>225</v>
      </c>
      <c r="C230" s="160">
        <v>2017</v>
      </c>
      <c r="D230" s="163">
        <v>0</v>
      </c>
      <c r="E230" s="163">
        <v>0</v>
      </c>
      <c r="F230" s="163"/>
      <c r="G230" s="163"/>
      <c r="H230" s="163">
        <v>0</v>
      </c>
      <c r="I230" s="163">
        <v>0</v>
      </c>
      <c r="J230" s="68"/>
      <c r="K230" s="165"/>
      <c r="L230" s="292"/>
    </row>
    <row r="231" spans="1:12" s="15" customFormat="1" ht="14.25">
      <c r="A231" s="209"/>
      <c r="B231" s="255"/>
      <c r="C231" s="160">
        <v>2018</v>
      </c>
      <c r="D231" s="163">
        <f>I231</f>
        <v>99.792</v>
      </c>
      <c r="E231" s="163">
        <v>0</v>
      </c>
      <c r="F231" s="163"/>
      <c r="G231" s="163"/>
      <c r="H231" s="163">
        <v>0</v>
      </c>
      <c r="I231" s="163">
        <f>112-0.208-12</f>
        <v>99.792</v>
      </c>
      <c r="J231" s="68"/>
      <c r="K231" s="165" t="s">
        <v>153</v>
      </c>
      <c r="L231" s="292"/>
    </row>
    <row r="232" spans="1:12" s="15" customFormat="1" ht="14.25">
      <c r="A232" s="209"/>
      <c r="B232" s="255"/>
      <c r="C232" s="160">
        <v>2019</v>
      </c>
      <c r="D232" s="163">
        <v>0</v>
      </c>
      <c r="E232" s="163">
        <v>0</v>
      </c>
      <c r="F232" s="163"/>
      <c r="G232" s="163"/>
      <c r="H232" s="163">
        <v>0</v>
      </c>
      <c r="I232" s="163">
        <v>0</v>
      </c>
      <c r="J232" s="68"/>
      <c r="K232" s="165"/>
      <c r="L232" s="292"/>
    </row>
    <row r="233" spans="1:12" s="15" customFormat="1" ht="14.25">
      <c r="A233" s="209"/>
      <c r="B233" s="255"/>
      <c r="C233" s="160">
        <v>2020</v>
      </c>
      <c r="D233" s="163">
        <v>0</v>
      </c>
      <c r="E233" s="163">
        <v>0</v>
      </c>
      <c r="F233" s="163"/>
      <c r="G233" s="163"/>
      <c r="H233" s="163">
        <v>0</v>
      </c>
      <c r="I233" s="163">
        <v>0</v>
      </c>
      <c r="J233" s="68"/>
      <c r="K233" s="165"/>
      <c r="L233" s="292"/>
    </row>
    <row r="234" spans="1:12" s="15" customFormat="1" ht="14.25">
      <c r="A234" s="209"/>
      <c r="B234" s="255"/>
      <c r="C234" s="160">
        <v>2021</v>
      </c>
      <c r="D234" s="163">
        <v>0</v>
      </c>
      <c r="E234" s="163">
        <v>0</v>
      </c>
      <c r="F234" s="163"/>
      <c r="G234" s="163"/>
      <c r="H234" s="163">
        <v>0</v>
      </c>
      <c r="I234" s="163">
        <v>0</v>
      </c>
      <c r="J234" s="68"/>
      <c r="K234" s="165"/>
      <c r="L234" s="292"/>
    </row>
    <row r="235" spans="1:12" s="15" customFormat="1" ht="14.25">
      <c r="A235" s="210"/>
      <c r="B235" s="256"/>
      <c r="C235" s="160">
        <v>2022</v>
      </c>
      <c r="D235" s="163">
        <v>0</v>
      </c>
      <c r="E235" s="163"/>
      <c r="F235" s="163"/>
      <c r="G235" s="163"/>
      <c r="H235" s="163"/>
      <c r="I235" s="163">
        <v>0</v>
      </c>
      <c r="J235" s="68"/>
      <c r="K235" s="165"/>
      <c r="L235" s="292"/>
    </row>
    <row r="236" spans="1:12" s="15" customFormat="1" ht="15" customHeight="1">
      <c r="A236" s="208" t="s">
        <v>220</v>
      </c>
      <c r="B236" s="254" t="s">
        <v>226</v>
      </c>
      <c r="C236" s="160">
        <v>2017</v>
      </c>
      <c r="D236" s="163">
        <v>0</v>
      </c>
      <c r="E236" s="163">
        <v>0</v>
      </c>
      <c r="F236" s="163"/>
      <c r="G236" s="163"/>
      <c r="H236" s="163">
        <v>0</v>
      </c>
      <c r="I236" s="163">
        <v>0</v>
      </c>
      <c r="J236" s="68"/>
      <c r="K236" s="165"/>
      <c r="L236" s="292"/>
    </row>
    <row r="237" spans="1:12" s="15" customFormat="1" ht="14.25">
      <c r="A237" s="209"/>
      <c r="B237" s="255"/>
      <c r="C237" s="160">
        <v>2018</v>
      </c>
      <c r="D237" s="163">
        <f>I237</f>
        <v>210.463</v>
      </c>
      <c r="E237" s="163">
        <v>0</v>
      </c>
      <c r="F237" s="163"/>
      <c r="G237" s="163"/>
      <c r="H237" s="163">
        <v>0</v>
      </c>
      <c r="I237" s="163">
        <f>310-67.537-32</f>
        <v>210.463</v>
      </c>
      <c r="J237" s="68"/>
      <c r="K237" s="165" t="s">
        <v>52</v>
      </c>
      <c r="L237" s="292"/>
    </row>
    <row r="238" spans="1:12" s="15" customFormat="1" ht="14.25">
      <c r="A238" s="209"/>
      <c r="B238" s="255"/>
      <c r="C238" s="160">
        <v>2019</v>
      </c>
      <c r="D238" s="163">
        <v>0</v>
      </c>
      <c r="E238" s="163">
        <v>0</v>
      </c>
      <c r="F238" s="163"/>
      <c r="G238" s="163"/>
      <c r="H238" s="163">
        <v>0</v>
      </c>
      <c r="I238" s="163">
        <v>0</v>
      </c>
      <c r="J238" s="68"/>
      <c r="K238" s="165"/>
      <c r="L238" s="292"/>
    </row>
    <row r="239" spans="1:12" s="15" customFormat="1" ht="14.25">
      <c r="A239" s="209"/>
      <c r="B239" s="255"/>
      <c r="C239" s="160">
        <v>2020</v>
      </c>
      <c r="D239" s="163">
        <v>0</v>
      </c>
      <c r="E239" s="163">
        <v>0</v>
      </c>
      <c r="F239" s="163"/>
      <c r="G239" s="163"/>
      <c r="H239" s="163">
        <v>0</v>
      </c>
      <c r="I239" s="163">
        <v>0</v>
      </c>
      <c r="J239" s="68"/>
      <c r="K239" s="165"/>
      <c r="L239" s="292"/>
    </row>
    <row r="240" spans="1:12" s="15" customFormat="1" ht="14.25">
      <c r="A240" s="209"/>
      <c r="B240" s="255"/>
      <c r="C240" s="160">
        <v>2021</v>
      </c>
      <c r="D240" s="163">
        <v>0</v>
      </c>
      <c r="E240" s="163">
        <v>0</v>
      </c>
      <c r="F240" s="163"/>
      <c r="G240" s="163"/>
      <c r="H240" s="163">
        <v>0</v>
      </c>
      <c r="I240" s="163">
        <v>0</v>
      </c>
      <c r="J240" s="68"/>
      <c r="K240" s="165"/>
      <c r="L240" s="292"/>
    </row>
    <row r="241" spans="1:12" s="15" customFormat="1" ht="14.25">
      <c r="A241" s="210"/>
      <c r="B241" s="256"/>
      <c r="C241" s="160">
        <v>2022</v>
      </c>
      <c r="D241" s="163">
        <v>0</v>
      </c>
      <c r="E241" s="163"/>
      <c r="F241" s="163"/>
      <c r="G241" s="163"/>
      <c r="H241" s="163"/>
      <c r="I241" s="163">
        <v>0</v>
      </c>
      <c r="J241" s="68"/>
      <c r="K241" s="153"/>
      <c r="L241" s="292"/>
    </row>
    <row r="242" spans="1:12" s="15" customFormat="1" ht="14.25" customHeight="1">
      <c r="A242" s="208" t="s">
        <v>221</v>
      </c>
      <c r="B242" s="254" t="s">
        <v>259</v>
      </c>
      <c r="C242" s="160">
        <v>2017</v>
      </c>
      <c r="D242" s="163">
        <v>0</v>
      </c>
      <c r="E242" s="163">
        <v>0</v>
      </c>
      <c r="F242" s="163"/>
      <c r="G242" s="163"/>
      <c r="H242" s="163">
        <v>0</v>
      </c>
      <c r="I242" s="163">
        <v>0</v>
      </c>
      <c r="J242" s="68"/>
      <c r="K242" s="208" t="s">
        <v>58</v>
      </c>
      <c r="L242" s="292"/>
    </row>
    <row r="243" spans="1:12" s="15" customFormat="1" ht="16.5" customHeight="1">
      <c r="A243" s="209"/>
      <c r="B243" s="255"/>
      <c r="C243" s="160">
        <v>2018</v>
      </c>
      <c r="D243" s="163">
        <f>I243</f>
        <v>160</v>
      </c>
      <c r="E243" s="163">
        <v>0</v>
      </c>
      <c r="F243" s="163"/>
      <c r="G243" s="163"/>
      <c r="H243" s="163">
        <v>0</v>
      </c>
      <c r="I243" s="163">
        <v>160</v>
      </c>
      <c r="J243" s="68"/>
      <c r="K243" s="209"/>
      <c r="L243" s="292"/>
    </row>
    <row r="244" spans="1:12" s="15" customFormat="1" ht="14.25">
      <c r="A244" s="209"/>
      <c r="B244" s="255"/>
      <c r="C244" s="160">
        <v>2019</v>
      </c>
      <c r="D244" s="163">
        <v>0</v>
      </c>
      <c r="E244" s="163">
        <v>0</v>
      </c>
      <c r="F244" s="163"/>
      <c r="G244" s="163"/>
      <c r="H244" s="163">
        <v>0</v>
      </c>
      <c r="I244" s="163">
        <v>0</v>
      </c>
      <c r="J244" s="68"/>
      <c r="K244" s="209"/>
      <c r="L244" s="292"/>
    </row>
    <row r="245" spans="1:12" s="15" customFormat="1" ht="14.25">
      <c r="A245" s="209"/>
      <c r="B245" s="255"/>
      <c r="C245" s="160">
        <v>2020</v>
      </c>
      <c r="D245" s="163">
        <v>0</v>
      </c>
      <c r="E245" s="163">
        <v>0</v>
      </c>
      <c r="F245" s="163"/>
      <c r="G245" s="163"/>
      <c r="H245" s="163">
        <v>0</v>
      </c>
      <c r="I245" s="163">
        <v>0</v>
      </c>
      <c r="J245" s="68"/>
      <c r="K245" s="209"/>
      <c r="L245" s="292"/>
    </row>
    <row r="246" spans="1:12" s="15" customFormat="1" ht="14.25">
      <c r="A246" s="209"/>
      <c r="B246" s="255"/>
      <c r="C246" s="160">
        <v>2021</v>
      </c>
      <c r="D246" s="163">
        <v>0</v>
      </c>
      <c r="E246" s="163">
        <v>0</v>
      </c>
      <c r="F246" s="163"/>
      <c r="G246" s="163"/>
      <c r="H246" s="163">
        <v>0</v>
      </c>
      <c r="I246" s="163">
        <v>0</v>
      </c>
      <c r="J246" s="68"/>
      <c r="K246" s="210"/>
      <c r="L246" s="292"/>
    </row>
    <row r="247" spans="1:12" s="15" customFormat="1" ht="14.25">
      <c r="A247" s="210"/>
      <c r="B247" s="256"/>
      <c r="C247" s="160">
        <v>2022</v>
      </c>
      <c r="D247" s="163">
        <v>0</v>
      </c>
      <c r="E247" s="163"/>
      <c r="F247" s="163"/>
      <c r="G247" s="163"/>
      <c r="H247" s="163"/>
      <c r="I247" s="163">
        <v>0</v>
      </c>
      <c r="J247" s="68"/>
      <c r="K247" s="152"/>
      <c r="L247" s="292"/>
    </row>
    <row r="248" spans="1:12" s="15" customFormat="1" ht="15" customHeight="1">
      <c r="A248" s="208" t="s">
        <v>222</v>
      </c>
      <c r="B248" s="254" t="s">
        <v>227</v>
      </c>
      <c r="C248" s="160">
        <v>2017</v>
      </c>
      <c r="D248" s="163">
        <v>0</v>
      </c>
      <c r="E248" s="163">
        <v>0</v>
      </c>
      <c r="F248" s="163"/>
      <c r="G248" s="163"/>
      <c r="H248" s="163">
        <v>0</v>
      </c>
      <c r="I248" s="163">
        <v>0</v>
      </c>
      <c r="J248" s="68"/>
      <c r="K248" s="165"/>
      <c r="L248" s="292"/>
    </row>
    <row r="249" spans="1:12" s="15" customFormat="1" ht="14.25">
      <c r="A249" s="209"/>
      <c r="B249" s="255"/>
      <c r="C249" s="160">
        <v>2018</v>
      </c>
      <c r="D249" s="163">
        <f>I249</f>
        <v>245.451</v>
      </c>
      <c r="E249" s="163">
        <v>0</v>
      </c>
      <c r="F249" s="163"/>
      <c r="G249" s="163"/>
      <c r="H249" s="163">
        <v>0</v>
      </c>
      <c r="I249" s="163">
        <f>255.701-10.25</f>
        <v>245.451</v>
      </c>
      <c r="J249" s="68"/>
      <c r="K249" s="165" t="s">
        <v>55</v>
      </c>
      <c r="L249" s="292"/>
    </row>
    <row r="250" spans="1:12" s="15" customFormat="1" ht="14.25">
      <c r="A250" s="209"/>
      <c r="B250" s="255"/>
      <c r="C250" s="160">
        <v>2019</v>
      </c>
      <c r="D250" s="163">
        <v>0</v>
      </c>
      <c r="E250" s="163">
        <v>0</v>
      </c>
      <c r="F250" s="163"/>
      <c r="G250" s="163"/>
      <c r="H250" s="163">
        <v>0</v>
      </c>
      <c r="I250" s="163">
        <v>0</v>
      </c>
      <c r="J250" s="68"/>
      <c r="K250" s="165"/>
      <c r="L250" s="292"/>
    </row>
    <row r="251" spans="1:12" s="15" customFormat="1" ht="14.25">
      <c r="A251" s="209"/>
      <c r="B251" s="255"/>
      <c r="C251" s="160">
        <v>2020</v>
      </c>
      <c r="D251" s="163">
        <v>0</v>
      </c>
      <c r="E251" s="163">
        <v>0</v>
      </c>
      <c r="F251" s="163"/>
      <c r="G251" s="163"/>
      <c r="H251" s="163">
        <v>0</v>
      </c>
      <c r="I251" s="163">
        <v>0</v>
      </c>
      <c r="J251" s="68"/>
      <c r="K251" s="165"/>
      <c r="L251" s="292"/>
    </row>
    <row r="252" spans="1:12" s="15" customFormat="1" ht="14.25">
      <c r="A252" s="209"/>
      <c r="B252" s="255"/>
      <c r="C252" s="160">
        <v>2021</v>
      </c>
      <c r="D252" s="163">
        <v>0</v>
      </c>
      <c r="E252" s="163">
        <v>0</v>
      </c>
      <c r="F252" s="163"/>
      <c r="G252" s="163"/>
      <c r="H252" s="163">
        <v>0</v>
      </c>
      <c r="I252" s="163">
        <v>0</v>
      </c>
      <c r="J252" s="68"/>
      <c r="K252" s="165"/>
      <c r="L252" s="292"/>
    </row>
    <row r="253" spans="1:12" s="15" customFormat="1" ht="14.25">
      <c r="A253" s="210"/>
      <c r="B253" s="256"/>
      <c r="C253" s="160">
        <v>2022</v>
      </c>
      <c r="D253" s="163">
        <v>0</v>
      </c>
      <c r="E253" s="163"/>
      <c r="F253" s="163"/>
      <c r="G253" s="163"/>
      <c r="H253" s="163"/>
      <c r="I253" s="163">
        <v>0</v>
      </c>
      <c r="J253" s="68"/>
      <c r="K253" s="165"/>
      <c r="L253" s="292"/>
    </row>
    <row r="254" spans="1:12" s="15" customFormat="1" ht="15" customHeight="1">
      <c r="A254" s="208" t="s">
        <v>229</v>
      </c>
      <c r="B254" s="254" t="s">
        <v>230</v>
      </c>
      <c r="C254" s="160">
        <v>2017</v>
      </c>
      <c r="D254" s="163">
        <v>0</v>
      </c>
      <c r="E254" s="163">
        <v>0</v>
      </c>
      <c r="F254" s="163"/>
      <c r="G254" s="163"/>
      <c r="H254" s="163">
        <v>0</v>
      </c>
      <c r="I254" s="163">
        <v>0</v>
      </c>
      <c r="J254" s="68"/>
      <c r="K254" s="165"/>
      <c r="L254" s="292"/>
    </row>
    <row r="255" spans="1:12" s="15" customFormat="1" ht="14.25">
      <c r="A255" s="209"/>
      <c r="B255" s="255"/>
      <c r="C255" s="160">
        <v>2018</v>
      </c>
      <c r="D255" s="163">
        <f>I255</f>
        <v>468.108</v>
      </c>
      <c r="E255" s="163">
        <v>0</v>
      </c>
      <c r="F255" s="163"/>
      <c r="G255" s="163"/>
      <c r="H255" s="163">
        <v>0</v>
      </c>
      <c r="I255" s="163">
        <f>58.48+10.428+399.2</f>
        <v>468.108</v>
      </c>
      <c r="J255" s="68"/>
      <c r="K255" s="165" t="s">
        <v>228</v>
      </c>
      <c r="L255" s="292"/>
    </row>
    <row r="256" spans="1:12" s="15" customFormat="1" ht="14.25">
      <c r="A256" s="209"/>
      <c r="B256" s="255"/>
      <c r="C256" s="160">
        <v>2019</v>
      </c>
      <c r="D256" s="163">
        <v>0</v>
      </c>
      <c r="E256" s="163">
        <v>0</v>
      </c>
      <c r="F256" s="163"/>
      <c r="G256" s="163"/>
      <c r="H256" s="163">
        <v>0</v>
      </c>
      <c r="I256" s="163">
        <v>0</v>
      </c>
      <c r="J256" s="68"/>
      <c r="K256" s="165"/>
      <c r="L256" s="292"/>
    </row>
    <row r="257" spans="1:12" s="15" customFormat="1" ht="14.25">
      <c r="A257" s="209"/>
      <c r="B257" s="255"/>
      <c r="C257" s="160">
        <v>2020</v>
      </c>
      <c r="D257" s="163">
        <v>0</v>
      </c>
      <c r="E257" s="163">
        <v>0</v>
      </c>
      <c r="F257" s="163"/>
      <c r="G257" s="163"/>
      <c r="H257" s="163">
        <v>0</v>
      </c>
      <c r="I257" s="163">
        <v>0</v>
      </c>
      <c r="J257" s="68"/>
      <c r="K257" s="165"/>
      <c r="L257" s="292"/>
    </row>
    <row r="258" spans="1:12" s="15" customFormat="1" ht="14.25">
      <c r="A258" s="209"/>
      <c r="B258" s="255"/>
      <c r="C258" s="160">
        <v>2021</v>
      </c>
      <c r="D258" s="163">
        <v>0</v>
      </c>
      <c r="E258" s="163">
        <v>0</v>
      </c>
      <c r="F258" s="163"/>
      <c r="G258" s="163"/>
      <c r="H258" s="163">
        <v>0</v>
      </c>
      <c r="I258" s="163">
        <v>0</v>
      </c>
      <c r="J258" s="68"/>
      <c r="K258" s="165"/>
      <c r="L258" s="292"/>
    </row>
    <row r="259" spans="1:12" s="15" customFormat="1" ht="14.25">
      <c r="A259" s="210"/>
      <c r="B259" s="256"/>
      <c r="C259" s="160">
        <v>2022</v>
      </c>
      <c r="D259" s="163">
        <v>0</v>
      </c>
      <c r="E259" s="163"/>
      <c r="F259" s="163"/>
      <c r="G259" s="163"/>
      <c r="H259" s="163"/>
      <c r="I259" s="163">
        <v>0</v>
      </c>
      <c r="J259" s="68"/>
      <c r="K259" s="153"/>
      <c r="L259" s="292"/>
    </row>
    <row r="260" spans="1:12" s="15" customFormat="1" ht="15" customHeight="1">
      <c r="A260" s="208" t="s">
        <v>233</v>
      </c>
      <c r="B260" s="254" t="s">
        <v>241</v>
      </c>
      <c r="C260" s="160">
        <v>2017</v>
      </c>
      <c r="D260" s="163">
        <v>0</v>
      </c>
      <c r="E260" s="163">
        <v>0</v>
      </c>
      <c r="F260" s="163"/>
      <c r="G260" s="163"/>
      <c r="H260" s="163">
        <v>0</v>
      </c>
      <c r="I260" s="163">
        <v>0</v>
      </c>
      <c r="J260" s="68"/>
      <c r="K260" s="242" t="s">
        <v>244</v>
      </c>
      <c r="L260" s="292"/>
    </row>
    <row r="261" spans="1:12" s="15" customFormat="1" ht="14.25">
      <c r="A261" s="209"/>
      <c r="B261" s="255"/>
      <c r="C261" s="160">
        <v>2018</v>
      </c>
      <c r="D261" s="163">
        <v>0</v>
      </c>
      <c r="E261" s="163">
        <v>0</v>
      </c>
      <c r="F261" s="163"/>
      <c r="G261" s="163"/>
      <c r="H261" s="163">
        <v>0</v>
      </c>
      <c r="I261" s="163">
        <v>0</v>
      </c>
      <c r="J261" s="68"/>
      <c r="K261" s="243"/>
      <c r="L261" s="292"/>
    </row>
    <row r="262" spans="1:12" s="15" customFormat="1" ht="14.25">
      <c r="A262" s="209"/>
      <c r="B262" s="255"/>
      <c r="C262" s="160">
        <v>2019</v>
      </c>
      <c r="D262" s="163">
        <f>I262</f>
        <v>4102.315</v>
      </c>
      <c r="E262" s="163">
        <v>0</v>
      </c>
      <c r="F262" s="163"/>
      <c r="G262" s="163"/>
      <c r="H262" s="163">
        <v>0</v>
      </c>
      <c r="I262" s="163">
        <v>4102.315</v>
      </c>
      <c r="J262" s="175"/>
      <c r="K262" s="243"/>
      <c r="L262" s="292"/>
    </row>
    <row r="263" spans="1:12" s="15" customFormat="1" ht="14.25">
      <c r="A263" s="209"/>
      <c r="B263" s="255"/>
      <c r="C263" s="160">
        <v>2020</v>
      </c>
      <c r="D263" s="163">
        <v>0</v>
      </c>
      <c r="E263" s="163">
        <v>0</v>
      </c>
      <c r="F263" s="163"/>
      <c r="G263" s="163"/>
      <c r="H263" s="163">
        <v>0</v>
      </c>
      <c r="I263" s="163">
        <v>0</v>
      </c>
      <c r="J263" s="68"/>
      <c r="K263" s="243"/>
      <c r="L263" s="292"/>
    </row>
    <row r="264" spans="1:12" s="15" customFormat="1" ht="14.25">
      <c r="A264" s="209"/>
      <c r="B264" s="255"/>
      <c r="C264" s="160">
        <v>2021</v>
      </c>
      <c r="D264" s="163">
        <v>0</v>
      </c>
      <c r="E264" s="163">
        <v>0</v>
      </c>
      <c r="F264" s="163"/>
      <c r="G264" s="163"/>
      <c r="H264" s="163">
        <v>0</v>
      </c>
      <c r="I264" s="163">
        <v>0</v>
      </c>
      <c r="J264" s="68"/>
      <c r="K264" s="244"/>
      <c r="L264" s="292"/>
    </row>
    <row r="265" spans="1:12" s="15" customFormat="1" ht="14.25">
      <c r="A265" s="210"/>
      <c r="B265" s="256"/>
      <c r="C265" s="160">
        <v>2022</v>
      </c>
      <c r="D265" s="163">
        <v>0</v>
      </c>
      <c r="E265" s="163"/>
      <c r="F265" s="163"/>
      <c r="G265" s="163"/>
      <c r="H265" s="163"/>
      <c r="I265" s="163">
        <v>0</v>
      </c>
      <c r="J265" s="68"/>
      <c r="K265" s="147"/>
      <c r="L265" s="292"/>
    </row>
    <row r="266" spans="1:12" s="15" customFormat="1" ht="15" customHeight="1">
      <c r="A266" s="208" t="s">
        <v>234</v>
      </c>
      <c r="B266" s="254" t="s">
        <v>251</v>
      </c>
      <c r="C266" s="160">
        <v>2017</v>
      </c>
      <c r="D266" s="163">
        <v>0</v>
      </c>
      <c r="E266" s="163">
        <v>0</v>
      </c>
      <c r="F266" s="163"/>
      <c r="G266" s="163"/>
      <c r="H266" s="163">
        <v>0</v>
      </c>
      <c r="I266" s="163">
        <v>0</v>
      </c>
      <c r="J266" s="68"/>
      <c r="K266" s="242" t="s">
        <v>244</v>
      </c>
      <c r="L266" s="292"/>
    </row>
    <row r="267" spans="1:12" s="15" customFormat="1" ht="14.25">
      <c r="A267" s="209"/>
      <c r="B267" s="255"/>
      <c r="C267" s="160">
        <v>2018</v>
      </c>
      <c r="D267" s="163">
        <v>0</v>
      </c>
      <c r="E267" s="163">
        <v>0</v>
      </c>
      <c r="F267" s="163"/>
      <c r="G267" s="163"/>
      <c r="H267" s="163">
        <v>0</v>
      </c>
      <c r="I267" s="163">
        <v>0</v>
      </c>
      <c r="J267" s="68"/>
      <c r="K267" s="243"/>
      <c r="L267" s="292"/>
    </row>
    <row r="268" spans="1:12" s="15" customFormat="1" ht="14.25">
      <c r="A268" s="209"/>
      <c r="B268" s="255"/>
      <c r="C268" s="160">
        <v>2019</v>
      </c>
      <c r="D268" s="163">
        <f>I268</f>
        <v>545.6</v>
      </c>
      <c r="E268" s="163">
        <v>0</v>
      </c>
      <c r="F268" s="163"/>
      <c r="G268" s="163"/>
      <c r="H268" s="163">
        <v>0</v>
      </c>
      <c r="I268" s="163">
        <v>545.6</v>
      </c>
      <c r="J268" s="68"/>
      <c r="K268" s="243"/>
      <c r="L268" s="292"/>
    </row>
    <row r="269" spans="1:12" s="15" customFormat="1" ht="14.25">
      <c r="A269" s="209"/>
      <c r="B269" s="255"/>
      <c r="C269" s="160">
        <v>2020</v>
      </c>
      <c r="D269" s="163">
        <v>0</v>
      </c>
      <c r="E269" s="163">
        <v>0</v>
      </c>
      <c r="F269" s="163"/>
      <c r="G269" s="163"/>
      <c r="H269" s="163">
        <v>0</v>
      </c>
      <c r="I269" s="163">
        <v>0</v>
      </c>
      <c r="J269" s="68"/>
      <c r="K269" s="243"/>
      <c r="L269" s="292"/>
    </row>
    <row r="270" spans="1:12" s="15" customFormat="1" ht="14.25">
      <c r="A270" s="209"/>
      <c r="B270" s="255"/>
      <c r="C270" s="160">
        <v>2021</v>
      </c>
      <c r="D270" s="163">
        <v>0</v>
      </c>
      <c r="E270" s="163">
        <v>0</v>
      </c>
      <c r="F270" s="163"/>
      <c r="G270" s="163"/>
      <c r="H270" s="163">
        <v>0</v>
      </c>
      <c r="I270" s="163">
        <v>0</v>
      </c>
      <c r="J270" s="68"/>
      <c r="K270" s="244"/>
      <c r="L270" s="292"/>
    </row>
    <row r="271" spans="1:12" s="15" customFormat="1" ht="14.25">
      <c r="A271" s="210"/>
      <c r="B271" s="256"/>
      <c r="C271" s="160">
        <v>2022</v>
      </c>
      <c r="D271" s="163">
        <v>0</v>
      </c>
      <c r="E271" s="163"/>
      <c r="F271" s="163"/>
      <c r="G271" s="163"/>
      <c r="H271" s="163"/>
      <c r="I271" s="163">
        <v>0</v>
      </c>
      <c r="J271" s="68"/>
      <c r="K271" s="147"/>
      <c r="L271" s="292"/>
    </row>
    <row r="272" spans="1:12" s="15" customFormat="1" ht="15" customHeight="1">
      <c r="A272" s="208" t="s">
        <v>235</v>
      </c>
      <c r="B272" s="254" t="s">
        <v>254</v>
      </c>
      <c r="C272" s="160">
        <v>2017</v>
      </c>
      <c r="D272" s="163">
        <v>0</v>
      </c>
      <c r="E272" s="163">
        <v>0</v>
      </c>
      <c r="F272" s="163"/>
      <c r="G272" s="163"/>
      <c r="H272" s="163">
        <v>0</v>
      </c>
      <c r="I272" s="163">
        <v>0</v>
      </c>
      <c r="J272" s="68"/>
      <c r="K272" s="146" t="s">
        <v>51</v>
      </c>
      <c r="L272" s="292"/>
    </row>
    <row r="273" spans="1:12" s="15" customFormat="1" ht="14.25">
      <c r="A273" s="209"/>
      <c r="B273" s="255"/>
      <c r="C273" s="160">
        <v>2018</v>
      </c>
      <c r="D273" s="163">
        <v>0</v>
      </c>
      <c r="E273" s="163">
        <v>0</v>
      </c>
      <c r="F273" s="163"/>
      <c r="G273" s="163"/>
      <c r="H273" s="163">
        <v>0</v>
      </c>
      <c r="I273" s="163">
        <v>0</v>
      </c>
      <c r="J273" s="68"/>
      <c r="K273" s="147"/>
      <c r="L273" s="292"/>
    </row>
    <row r="274" spans="1:12" s="15" customFormat="1" ht="14.25">
      <c r="A274" s="209"/>
      <c r="B274" s="255"/>
      <c r="C274" s="160">
        <v>2019</v>
      </c>
      <c r="D274" s="163">
        <f>I274</f>
        <v>158.51999999999998</v>
      </c>
      <c r="E274" s="163">
        <v>0</v>
      </c>
      <c r="F274" s="163"/>
      <c r="G274" s="163"/>
      <c r="H274" s="163">
        <v>0</v>
      </c>
      <c r="I274" s="163">
        <f>175.67-17.15</f>
        <v>158.51999999999998</v>
      </c>
      <c r="J274" s="68"/>
      <c r="K274" s="147"/>
      <c r="L274" s="292"/>
    </row>
    <row r="275" spans="1:12" s="15" customFormat="1" ht="14.25">
      <c r="A275" s="209"/>
      <c r="B275" s="255"/>
      <c r="C275" s="160">
        <v>2020</v>
      </c>
      <c r="D275" s="163">
        <v>0</v>
      </c>
      <c r="E275" s="163">
        <v>0</v>
      </c>
      <c r="F275" s="163"/>
      <c r="G275" s="163"/>
      <c r="H275" s="163">
        <v>0</v>
      </c>
      <c r="I275" s="163">
        <v>0</v>
      </c>
      <c r="J275" s="68"/>
      <c r="K275" s="147"/>
      <c r="L275" s="292"/>
    </row>
    <row r="276" spans="1:12" s="15" customFormat="1" ht="14.25">
      <c r="A276" s="209"/>
      <c r="B276" s="255"/>
      <c r="C276" s="160">
        <v>2021</v>
      </c>
      <c r="D276" s="163">
        <v>0</v>
      </c>
      <c r="E276" s="163">
        <v>0</v>
      </c>
      <c r="F276" s="163"/>
      <c r="G276" s="163"/>
      <c r="H276" s="163">
        <v>0</v>
      </c>
      <c r="I276" s="163">
        <v>0</v>
      </c>
      <c r="J276" s="68"/>
      <c r="K276" s="148"/>
      <c r="L276" s="292"/>
    </row>
    <row r="277" spans="1:12" s="15" customFormat="1" ht="14.25">
      <c r="A277" s="210"/>
      <c r="B277" s="256"/>
      <c r="C277" s="160">
        <v>2022</v>
      </c>
      <c r="D277" s="163">
        <v>0</v>
      </c>
      <c r="E277" s="163"/>
      <c r="F277" s="163"/>
      <c r="G277" s="163"/>
      <c r="H277" s="163"/>
      <c r="I277" s="163">
        <v>0</v>
      </c>
      <c r="J277" s="68"/>
      <c r="K277" s="147"/>
      <c r="L277" s="292"/>
    </row>
    <row r="278" spans="1:12" s="15" customFormat="1" ht="15" customHeight="1">
      <c r="A278" s="208" t="s">
        <v>236</v>
      </c>
      <c r="B278" s="254" t="s">
        <v>249</v>
      </c>
      <c r="C278" s="160">
        <v>2017</v>
      </c>
      <c r="D278" s="163">
        <v>0</v>
      </c>
      <c r="E278" s="163">
        <v>0</v>
      </c>
      <c r="F278" s="163"/>
      <c r="G278" s="163"/>
      <c r="H278" s="163">
        <v>0</v>
      </c>
      <c r="I278" s="163">
        <v>0</v>
      </c>
      <c r="J278" s="68"/>
      <c r="K278" s="242" t="s">
        <v>244</v>
      </c>
      <c r="L278" s="292"/>
    </row>
    <row r="279" spans="1:12" s="15" customFormat="1" ht="14.25">
      <c r="A279" s="209"/>
      <c r="B279" s="255"/>
      <c r="C279" s="160">
        <v>2018</v>
      </c>
      <c r="D279" s="163">
        <v>0</v>
      </c>
      <c r="E279" s="163">
        <v>0</v>
      </c>
      <c r="F279" s="163"/>
      <c r="G279" s="163"/>
      <c r="H279" s="163">
        <v>0</v>
      </c>
      <c r="I279" s="163">
        <v>0</v>
      </c>
      <c r="J279" s="68"/>
      <c r="K279" s="243"/>
      <c r="L279" s="292"/>
    </row>
    <row r="280" spans="1:12" s="15" customFormat="1" ht="14.25">
      <c r="A280" s="209"/>
      <c r="B280" s="255"/>
      <c r="C280" s="160">
        <v>2019</v>
      </c>
      <c r="D280" s="163">
        <f>I280</f>
        <v>0</v>
      </c>
      <c r="E280" s="163">
        <v>0</v>
      </c>
      <c r="F280" s="163"/>
      <c r="G280" s="163"/>
      <c r="H280" s="163">
        <v>0</v>
      </c>
      <c r="I280" s="163">
        <v>0</v>
      </c>
      <c r="J280" s="68"/>
      <c r="K280" s="243"/>
      <c r="L280" s="292"/>
    </row>
    <row r="281" spans="1:12" s="15" customFormat="1" ht="14.25">
      <c r="A281" s="209"/>
      <c r="B281" s="255"/>
      <c r="C281" s="160">
        <v>2020</v>
      </c>
      <c r="D281" s="163">
        <v>0</v>
      </c>
      <c r="E281" s="163">
        <v>0</v>
      </c>
      <c r="F281" s="163"/>
      <c r="G281" s="163"/>
      <c r="H281" s="163">
        <v>0</v>
      </c>
      <c r="I281" s="163">
        <v>0</v>
      </c>
      <c r="J281" s="68"/>
      <c r="K281" s="243"/>
      <c r="L281" s="292"/>
    </row>
    <row r="282" spans="1:12" s="15" customFormat="1" ht="14.25">
      <c r="A282" s="209"/>
      <c r="B282" s="255"/>
      <c r="C282" s="160">
        <v>2021</v>
      </c>
      <c r="D282" s="163">
        <v>0</v>
      </c>
      <c r="E282" s="163">
        <v>0</v>
      </c>
      <c r="F282" s="163"/>
      <c r="G282" s="163"/>
      <c r="H282" s="163">
        <v>0</v>
      </c>
      <c r="I282" s="163">
        <v>0</v>
      </c>
      <c r="J282" s="68"/>
      <c r="K282" s="244"/>
      <c r="L282" s="292"/>
    </row>
    <row r="283" spans="1:12" s="15" customFormat="1" ht="14.25">
      <c r="A283" s="210"/>
      <c r="B283" s="256"/>
      <c r="C283" s="160">
        <v>2022</v>
      </c>
      <c r="D283" s="163">
        <v>0</v>
      </c>
      <c r="E283" s="163"/>
      <c r="F283" s="163"/>
      <c r="G283" s="163"/>
      <c r="H283" s="163"/>
      <c r="I283" s="163">
        <v>0</v>
      </c>
      <c r="J283" s="68"/>
      <c r="K283" s="147"/>
      <c r="L283" s="292"/>
    </row>
    <row r="284" spans="1:12" s="15" customFormat="1" ht="14.25">
      <c r="A284" s="208" t="s">
        <v>237</v>
      </c>
      <c r="B284" s="254" t="s">
        <v>243</v>
      </c>
      <c r="C284" s="160">
        <v>2017</v>
      </c>
      <c r="D284" s="163">
        <v>0</v>
      </c>
      <c r="E284" s="163">
        <v>0</v>
      </c>
      <c r="F284" s="163"/>
      <c r="G284" s="163"/>
      <c r="H284" s="163">
        <v>0</v>
      </c>
      <c r="I284" s="163">
        <v>0</v>
      </c>
      <c r="J284" s="68"/>
      <c r="K284" s="245" t="s">
        <v>248</v>
      </c>
      <c r="L284" s="292"/>
    </row>
    <row r="285" spans="1:12" s="15" customFormat="1" ht="14.25">
      <c r="A285" s="209"/>
      <c r="B285" s="255"/>
      <c r="C285" s="160">
        <v>2018</v>
      </c>
      <c r="D285" s="163">
        <v>0</v>
      </c>
      <c r="E285" s="163">
        <v>0</v>
      </c>
      <c r="F285" s="163"/>
      <c r="G285" s="163"/>
      <c r="H285" s="163">
        <v>0</v>
      </c>
      <c r="I285" s="163">
        <v>0</v>
      </c>
      <c r="J285" s="68"/>
      <c r="K285" s="246"/>
      <c r="L285" s="292"/>
    </row>
    <row r="286" spans="1:12" s="15" customFormat="1" ht="14.25">
      <c r="A286" s="209"/>
      <c r="B286" s="255"/>
      <c r="C286" s="160">
        <v>2019</v>
      </c>
      <c r="D286" s="163">
        <f>I286</f>
        <v>114.425</v>
      </c>
      <c r="E286" s="163">
        <v>0</v>
      </c>
      <c r="F286" s="163"/>
      <c r="G286" s="163"/>
      <c r="H286" s="163">
        <v>0</v>
      </c>
      <c r="I286" s="163">
        <f>130-15.575</f>
        <v>114.425</v>
      </c>
      <c r="J286" s="68"/>
      <c r="K286" s="246"/>
      <c r="L286" s="292"/>
    </row>
    <row r="287" spans="1:12" s="15" customFormat="1" ht="14.25">
      <c r="A287" s="209"/>
      <c r="B287" s="255"/>
      <c r="C287" s="160">
        <v>2020</v>
      </c>
      <c r="D287" s="163">
        <v>0</v>
      </c>
      <c r="E287" s="163">
        <v>0</v>
      </c>
      <c r="F287" s="163"/>
      <c r="G287" s="163"/>
      <c r="H287" s="163">
        <v>0</v>
      </c>
      <c r="I287" s="163">
        <v>0</v>
      </c>
      <c r="J287" s="68"/>
      <c r="K287" s="246"/>
      <c r="L287" s="292"/>
    </row>
    <row r="288" spans="1:12" s="15" customFormat="1" ht="14.25">
      <c r="A288" s="209"/>
      <c r="B288" s="255"/>
      <c r="C288" s="160">
        <v>2021</v>
      </c>
      <c r="D288" s="163">
        <v>0</v>
      </c>
      <c r="E288" s="163">
        <v>0</v>
      </c>
      <c r="F288" s="163"/>
      <c r="G288" s="163"/>
      <c r="H288" s="163">
        <v>0</v>
      </c>
      <c r="I288" s="163">
        <v>0</v>
      </c>
      <c r="J288" s="68"/>
      <c r="K288" s="247"/>
      <c r="L288" s="292"/>
    </row>
    <row r="289" spans="1:12" s="15" customFormat="1" ht="14.25">
      <c r="A289" s="210"/>
      <c r="B289" s="256"/>
      <c r="C289" s="160">
        <v>2022</v>
      </c>
      <c r="D289" s="163">
        <v>0</v>
      </c>
      <c r="E289" s="163"/>
      <c r="F289" s="163"/>
      <c r="G289" s="163"/>
      <c r="H289" s="163"/>
      <c r="I289" s="163">
        <v>0</v>
      </c>
      <c r="J289" s="68"/>
      <c r="K289" s="147"/>
      <c r="L289" s="292"/>
    </row>
    <row r="290" spans="1:12" s="15" customFormat="1" ht="15" customHeight="1">
      <c r="A290" s="208" t="s">
        <v>239</v>
      </c>
      <c r="B290" s="254" t="s">
        <v>242</v>
      </c>
      <c r="C290" s="160">
        <v>2017</v>
      </c>
      <c r="D290" s="163">
        <v>0</v>
      </c>
      <c r="E290" s="163">
        <v>0</v>
      </c>
      <c r="F290" s="163"/>
      <c r="G290" s="163"/>
      <c r="H290" s="163">
        <v>0</v>
      </c>
      <c r="I290" s="163">
        <v>0</v>
      </c>
      <c r="J290" s="68"/>
      <c r="K290" s="245" t="s">
        <v>255</v>
      </c>
      <c r="L290" s="292"/>
    </row>
    <row r="291" spans="1:12" s="15" customFormat="1" ht="14.25">
      <c r="A291" s="209"/>
      <c r="B291" s="255"/>
      <c r="C291" s="160">
        <v>2018</v>
      </c>
      <c r="D291" s="163">
        <v>0</v>
      </c>
      <c r="E291" s="163">
        <v>0</v>
      </c>
      <c r="F291" s="163"/>
      <c r="G291" s="163"/>
      <c r="H291" s="163">
        <v>0</v>
      </c>
      <c r="I291" s="163">
        <v>0</v>
      </c>
      <c r="J291" s="68"/>
      <c r="K291" s="246"/>
      <c r="L291" s="292"/>
    </row>
    <row r="292" spans="1:12" s="15" customFormat="1" ht="14.25">
      <c r="A292" s="209"/>
      <c r="B292" s="255"/>
      <c r="C292" s="160">
        <v>2019</v>
      </c>
      <c r="D292" s="163">
        <f>I292</f>
        <v>210</v>
      </c>
      <c r="E292" s="163">
        <v>0</v>
      </c>
      <c r="F292" s="163"/>
      <c r="G292" s="163"/>
      <c r="H292" s="163">
        <v>0</v>
      </c>
      <c r="I292" s="163">
        <v>210</v>
      </c>
      <c r="J292" s="68"/>
      <c r="K292" s="246"/>
      <c r="L292" s="292"/>
    </row>
    <row r="293" spans="1:12" s="15" customFormat="1" ht="14.25">
      <c r="A293" s="209"/>
      <c r="B293" s="255"/>
      <c r="C293" s="160">
        <v>2020</v>
      </c>
      <c r="D293" s="163">
        <v>0</v>
      </c>
      <c r="E293" s="163">
        <v>0</v>
      </c>
      <c r="F293" s="163"/>
      <c r="G293" s="163"/>
      <c r="H293" s="163">
        <v>0</v>
      </c>
      <c r="I293" s="163">
        <v>0</v>
      </c>
      <c r="J293" s="68"/>
      <c r="K293" s="246"/>
      <c r="L293" s="292"/>
    </row>
    <row r="294" spans="1:12" s="15" customFormat="1" ht="22.5" customHeight="1">
      <c r="A294" s="209"/>
      <c r="B294" s="255"/>
      <c r="C294" s="160">
        <v>2021</v>
      </c>
      <c r="D294" s="163">
        <v>0</v>
      </c>
      <c r="E294" s="163">
        <v>0</v>
      </c>
      <c r="F294" s="163"/>
      <c r="G294" s="163"/>
      <c r="H294" s="163">
        <v>0</v>
      </c>
      <c r="I294" s="163">
        <v>0</v>
      </c>
      <c r="J294" s="68"/>
      <c r="K294" s="247"/>
      <c r="L294" s="292"/>
    </row>
    <row r="295" spans="1:12" s="15" customFormat="1" ht="22.5" customHeight="1">
      <c r="A295" s="210"/>
      <c r="B295" s="256"/>
      <c r="C295" s="160">
        <v>2022</v>
      </c>
      <c r="D295" s="163">
        <v>0</v>
      </c>
      <c r="E295" s="163"/>
      <c r="F295" s="163"/>
      <c r="G295" s="163"/>
      <c r="H295" s="163"/>
      <c r="I295" s="163">
        <v>0</v>
      </c>
      <c r="J295" s="68"/>
      <c r="K295" s="148"/>
      <c r="L295" s="292"/>
    </row>
    <row r="296" spans="1:12" s="15" customFormat="1" ht="15" customHeight="1">
      <c r="A296" s="208" t="s">
        <v>240</v>
      </c>
      <c r="B296" s="245" t="s">
        <v>274</v>
      </c>
      <c r="C296" s="160">
        <v>2017</v>
      </c>
      <c r="D296" s="163">
        <v>0</v>
      </c>
      <c r="E296" s="163">
        <v>0</v>
      </c>
      <c r="F296" s="163"/>
      <c r="G296" s="163"/>
      <c r="H296" s="163">
        <v>0</v>
      </c>
      <c r="I296" s="163">
        <v>0</v>
      </c>
      <c r="J296" s="68"/>
      <c r="K296" s="148"/>
      <c r="L296" s="292"/>
    </row>
    <row r="297" spans="1:12" s="15" customFormat="1" ht="15" customHeight="1">
      <c r="A297" s="209"/>
      <c r="B297" s="246"/>
      <c r="C297" s="160">
        <v>2018</v>
      </c>
      <c r="D297" s="163">
        <v>0</v>
      </c>
      <c r="E297" s="163">
        <v>0</v>
      </c>
      <c r="F297" s="163"/>
      <c r="G297" s="163"/>
      <c r="H297" s="163">
        <v>0</v>
      </c>
      <c r="I297" s="163">
        <v>0</v>
      </c>
      <c r="J297" s="68"/>
      <c r="K297" s="148"/>
      <c r="L297" s="292"/>
    </row>
    <row r="298" spans="1:12" s="15" customFormat="1" ht="17.25" customHeight="1">
      <c r="A298" s="209"/>
      <c r="B298" s="246"/>
      <c r="C298" s="160">
        <v>2019</v>
      </c>
      <c r="D298" s="163">
        <f>I298</f>
        <v>999.607</v>
      </c>
      <c r="E298" s="163">
        <v>0</v>
      </c>
      <c r="F298" s="163"/>
      <c r="G298" s="163"/>
      <c r="H298" s="163">
        <v>0</v>
      </c>
      <c r="I298" s="163">
        <f>809.885+190.115-0.393</f>
        <v>999.607</v>
      </c>
      <c r="J298" s="68"/>
      <c r="K298" s="148" t="s">
        <v>57</v>
      </c>
      <c r="L298" s="292"/>
    </row>
    <row r="299" spans="1:12" s="15" customFormat="1" ht="19.5" customHeight="1">
      <c r="A299" s="209"/>
      <c r="B299" s="246"/>
      <c r="C299" s="160">
        <v>2020</v>
      </c>
      <c r="D299" s="163">
        <v>0</v>
      </c>
      <c r="E299" s="163">
        <v>0</v>
      </c>
      <c r="F299" s="163"/>
      <c r="G299" s="163"/>
      <c r="H299" s="163">
        <v>0</v>
      </c>
      <c r="I299" s="163">
        <v>0</v>
      </c>
      <c r="J299" s="68"/>
      <c r="K299" s="148"/>
      <c r="L299" s="292"/>
    </row>
    <row r="300" spans="1:12" s="15" customFormat="1" ht="17.25" customHeight="1">
      <c r="A300" s="209"/>
      <c r="B300" s="246"/>
      <c r="C300" s="160">
        <v>2021</v>
      </c>
      <c r="D300" s="163">
        <v>0</v>
      </c>
      <c r="E300" s="163">
        <v>0</v>
      </c>
      <c r="F300" s="163"/>
      <c r="G300" s="163"/>
      <c r="H300" s="163">
        <v>0</v>
      </c>
      <c r="I300" s="163">
        <v>0</v>
      </c>
      <c r="J300" s="68"/>
      <c r="K300" s="148"/>
      <c r="L300" s="292"/>
    </row>
    <row r="301" spans="1:12" s="15" customFormat="1" ht="17.25" customHeight="1">
      <c r="A301" s="210"/>
      <c r="B301" s="247"/>
      <c r="C301" s="160">
        <v>2022</v>
      </c>
      <c r="D301" s="163">
        <v>0</v>
      </c>
      <c r="E301" s="163"/>
      <c r="F301" s="163"/>
      <c r="G301" s="163"/>
      <c r="H301" s="163"/>
      <c r="I301" s="163">
        <v>0</v>
      </c>
      <c r="J301" s="68"/>
      <c r="K301" s="148"/>
      <c r="L301" s="292"/>
    </row>
    <row r="302" spans="1:12" s="15" customFormat="1" ht="17.25" customHeight="1">
      <c r="A302" s="208" t="s">
        <v>246</v>
      </c>
      <c r="B302" s="245" t="s">
        <v>285</v>
      </c>
      <c r="C302" s="160">
        <v>2017</v>
      </c>
      <c r="D302" s="163">
        <v>0</v>
      </c>
      <c r="E302" s="163">
        <v>0</v>
      </c>
      <c r="F302" s="163"/>
      <c r="G302" s="163"/>
      <c r="H302" s="163">
        <v>0</v>
      </c>
      <c r="I302" s="163">
        <v>0</v>
      </c>
      <c r="J302" s="68"/>
      <c r="K302" s="148"/>
      <c r="L302" s="292"/>
    </row>
    <row r="303" spans="1:12" s="15" customFormat="1" ht="17.25" customHeight="1">
      <c r="A303" s="209"/>
      <c r="B303" s="246"/>
      <c r="C303" s="160">
        <v>2018</v>
      </c>
      <c r="D303" s="163">
        <v>0</v>
      </c>
      <c r="E303" s="163">
        <v>0</v>
      </c>
      <c r="F303" s="163"/>
      <c r="G303" s="163"/>
      <c r="H303" s="163">
        <v>0</v>
      </c>
      <c r="I303" s="163">
        <v>0</v>
      </c>
      <c r="J303" s="68"/>
      <c r="K303" s="148"/>
      <c r="L303" s="292"/>
    </row>
    <row r="304" spans="1:12" s="15" customFormat="1" ht="17.25" customHeight="1">
      <c r="A304" s="209"/>
      <c r="B304" s="246"/>
      <c r="C304" s="160">
        <v>2019</v>
      </c>
      <c r="D304" s="163">
        <f>I304</f>
        <v>920.73976</v>
      </c>
      <c r="E304" s="163">
        <v>0</v>
      </c>
      <c r="F304" s="163"/>
      <c r="G304" s="163"/>
      <c r="H304" s="163">
        <v>0</v>
      </c>
      <c r="I304" s="163">
        <v>920.73976</v>
      </c>
      <c r="J304" s="68"/>
      <c r="K304" s="148" t="s">
        <v>252</v>
      </c>
      <c r="L304" s="292"/>
    </row>
    <row r="305" spans="1:12" s="15" customFormat="1" ht="17.25" customHeight="1">
      <c r="A305" s="209"/>
      <c r="B305" s="246"/>
      <c r="C305" s="160">
        <v>2020</v>
      </c>
      <c r="D305" s="163">
        <v>0</v>
      </c>
      <c r="E305" s="163">
        <v>0</v>
      </c>
      <c r="F305" s="163"/>
      <c r="G305" s="163"/>
      <c r="H305" s="163">
        <v>0</v>
      </c>
      <c r="I305" s="163">
        <v>0</v>
      </c>
      <c r="J305" s="68"/>
      <c r="K305" s="148"/>
      <c r="L305" s="292"/>
    </row>
    <row r="306" spans="1:12" s="15" customFormat="1" ht="17.25" customHeight="1">
      <c r="A306" s="209"/>
      <c r="B306" s="246"/>
      <c r="C306" s="160">
        <v>2021</v>
      </c>
      <c r="D306" s="163">
        <v>0</v>
      </c>
      <c r="E306" s="163">
        <v>0</v>
      </c>
      <c r="F306" s="163"/>
      <c r="G306" s="163"/>
      <c r="H306" s="163">
        <v>0</v>
      </c>
      <c r="I306" s="163">
        <v>0</v>
      </c>
      <c r="J306" s="68"/>
      <c r="K306" s="148"/>
      <c r="L306" s="292"/>
    </row>
    <row r="307" spans="1:12" s="15" customFormat="1" ht="17.25" customHeight="1">
      <c r="A307" s="210"/>
      <c r="B307" s="247"/>
      <c r="C307" s="160">
        <v>2022</v>
      </c>
      <c r="D307" s="163">
        <v>0</v>
      </c>
      <c r="E307" s="163"/>
      <c r="F307" s="163"/>
      <c r="G307" s="163"/>
      <c r="H307" s="163"/>
      <c r="I307" s="163">
        <v>0</v>
      </c>
      <c r="J307" s="68"/>
      <c r="K307" s="148"/>
      <c r="L307" s="292"/>
    </row>
    <row r="308" spans="1:12" s="15" customFormat="1" ht="17.25" customHeight="1">
      <c r="A308" s="208" t="s">
        <v>253</v>
      </c>
      <c r="B308" s="245" t="s">
        <v>250</v>
      </c>
      <c r="C308" s="160">
        <v>2017</v>
      </c>
      <c r="D308" s="163">
        <v>0</v>
      </c>
      <c r="E308" s="163">
        <v>0</v>
      </c>
      <c r="F308" s="163"/>
      <c r="G308" s="163"/>
      <c r="H308" s="163">
        <v>0</v>
      </c>
      <c r="I308" s="163">
        <v>0</v>
      </c>
      <c r="J308" s="68"/>
      <c r="K308" s="148"/>
      <c r="L308" s="292"/>
    </row>
    <row r="309" spans="1:12" s="15" customFormat="1" ht="17.25" customHeight="1">
      <c r="A309" s="209"/>
      <c r="B309" s="246"/>
      <c r="C309" s="160">
        <v>2018</v>
      </c>
      <c r="D309" s="163">
        <v>0</v>
      </c>
      <c r="E309" s="163">
        <v>0</v>
      </c>
      <c r="F309" s="163"/>
      <c r="G309" s="163"/>
      <c r="H309" s="163">
        <v>0</v>
      </c>
      <c r="I309" s="163">
        <v>0</v>
      </c>
      <c r="J309" s="68"/>
      <c r="K309" s="148"/>
      <c r="L309" s="292"/>
    </row>
    <row r="310" spans="1:12" s="15" customFormat="1" ht="17.25" customHeight="1">
      <c r="A310" s="209"/>
      <c r="B310" s="246"/>
      <c r="C310" s="160">
        <v>2019</v>
      </c>
      <c r="D310" s="163">
        <f>I310</f>
        <v>164.112</v>
      </c>
      <c r="E310" s="163">
        <v>0</v>
      </c>
      <c r="F310" s="163"/>
      <c r="G310" s="163"/>
      <c r="H310" s="163">
        <v>0</v>
      </c>
      <c r="I310" s="163">
        <v>164.112</v>
      </c>
      <c r="J310" s="68"/>
      <c r="K310" s="149" t="s">
        <v>244</v>
      </c>
      <c r="L310" s="292"/>
    </row>
    <row r="311" spans="1:12" s="15" customFormat="1" ht="17.25" customHeight="1">
      <c r="A311" s="209"/>
      <c r="B311" s="246"/>
      <c r="C311" s="160">
        <v>2020</v>
      </c>
      <c r="D311" s="163">
        <v>0</v>
      </c>
      <c r="E311" s="163">
        <v>0</v>
      </c>
      <c r="F311" s="163"/>
      <c r="G311" s="163"/>
      <c r="H311" s="163">
        <v>0</v>
      </c>
      <c r="I311" s="163">
        <v>0</v>
      </c>
      <c r="J311" s="68"/>
      <c r="K311" s="148"/>
      <c r="L311" s="292"/>
    </row>
    <row r="312" spans="1:12" s="15" customFormat="1" ht="17.25" customHeight="1">
      <c r="A312" s="209"/>
      <c r="B312" s="246"/>
      <c r="C312" s="160">
        <v>2021</v>
      </c>
      <c r="D312" s="163">
        <v>0</v>
      </c>
      <c r="E312" s="163">
        <v>0</v>
      </c>
      <c r="F312" s="163"/>
      <c r="G312" s="163"/>
      <c r="H312" s="163">
        <v>0</v>
      </c>
      <c r="I312" s="163">
        <v>0</v>
      </c>
      <c r="J312" s="68"/>
      <c r="K312" s="148"/>
      <c r="L312" s="292"/>
    </row>
    <row r="313" spans="1:12" s="15" customFormat="1" ht="17.25" customHeight="1">
      <c r="A313" s="210"/>
      <c r="B313" s="247"/>
      <c r="C313" s="160">
        <v>2022</v>
      </c>
      <c r="D313" s="163">
        <v>0</v>
      </c>
      <c r="E313" s="163"/>
      <c r="F313" s="163"/>
      <c r="G313" s="163"/>
      <c r="H313" s="163"/>
      <c r="I313" s="163">
        <v>0</v>
      </c>
      <c r="J313" s="68"/>
      <c r="K313" s="148"/>
      <c r="L313" s="292"/>
    </row>
    <row r="314" spans="1:12" s="15" customFormat="1" ht="17.25" customHeight="1">
      <c r="A314" s="208" t="s">
        <v>247</v>
      </c>
      <c r="B314" s="245" t="s">
        <v>286</v>
      </c>
      <c r="C314" s="160">
        <v>2017</v>
      </c>
      <c r="D314" s="163">
        <v>0</v>
      </c>
      <c r="E314" s="163">
        <v>0</v>
      </c>
      <c r="F314" s="163"/>
      <c r="G314" s="163"/>
      <c r="H314" s="163">
        <v>0</v>
      </c>
      <c r="I314" s="163">
        <v>0</v>
      </c>
      <c r="J314" s="68"/>
      <c r="K314" s="148"/>
      <c r="L314" s="292"/>
    </row>
    <row r="315" spans="1:12" s="15" customFormat="1" ht="17.25" customHeight="1">
      <c r="A315" s="209"/>
      <c r="B315" s="246"/>
      <c r="C315" s="160">
        <v>2018</v>
      </c>
      <c r="D315" s="163">
        <v>0</v>
      </c>
      <c r="E315" s="163">
        <v>0</v>
      </c>
      <c r="F315" s="163"/>
      <c r="G315" s="163"/>
      <c r="H315" s="163">
        <v>0</v>
      </c>
      <c r="I315" s="163">
        <v>0</v>
      </c>
      <c r="J315" s="68"/>
      <c r="K315" s="148"/>
      <c r="L315" s="292"/>
    </row>
    <row r="316" spans="1:12" s="15" customFormat="1" ht="17.25" customHeight="1">
      <c r="A316" s="209"/>
      <c r="B316" s="246"/>
      <c r="C316" s="160">
        <v>2019</v>
      </c>
      <c r="D316" s="163">
        <f>I316</f>
        <v>0</v>
      </c>
      <c r="E316" s="163">
        <v>0</v>
      </c>
      <c r="F316" s="163"/>
      <c r="G316" s="163"/>
      <c r="H316" s="163">
        <v>0</v>
      </c>
      <c r="I316" s="163">
        <v>0</v>
      </c>
      <c r="J316" s="68"/>
      <c r="K316" s="149" t="s">
        <v>244</v>
      </c>
      <c r="L316" s="292"/>
    </row>
    <row r="317" spans="1:12" s="15" customFormat="1" ht="17.25" customHeight="1">
      <c r="A317" s="209"/>
      <c r="B317" s="246"/>
      <c r="C317" s="160">
        <v>2020</v>
      </c>
      <c r="D317" s="163">
        <v>0</v>
      </c>
      <c r="E317" s="163">
        <v>0</v>
      </c>
      <c r="F317" s="163"/>
      <c r="G317" s="163"/>
      <c r="H317" s="163">
        <v>0</v>
      </c>
      <c r="I317" s="163">
        <v>0</v>
      </c>
      <c r="J317" s="68"/>
      <c r="K317" s="148"/>
      <c r="L317" s="292"/>
    </row>
    <row r="318" spans="1:12" s="15" customFormat="1" ht="17.25" customHeight="1">
      <c r="A318" s="209"/>
      <c r="B318" s="246"/>
      <c r="C318" s="160">
        <v>2021</v>
      </c>
      <c r="D318" s="163">
        <v>0</v>
      </c>
      <c r="E318" s="163">
        <v>0</v>
      </c>
      <c r="F318" s="163"/>
      <c r="G318" s="163"/>
      <c r="H318" s="163">
        <v>0</v>
      </c>
      <c r="I318" s="163">
        <v>0</v>
      </c>
      <c r="J318" s="68"/>
      <c r="K318" s="148"/>
      <c r="L318" s="292"/>
    </row>
    <row r="319" spans="1:12" s="15" customFormat="1" ht="17.25" customHeight="1">
      <c r="A319" s="210"/>
      <c r="B319" s="247"/>
      <c r="C319" s="160">
        <v>2022</v>
      </c>
      <c r="D319" s="163">
        <v>0</v>
      </c>
      <c r="E319" s="163"/>
      <c r="F319" s="163"/>
      <c r="G319" s="163"/>
      <c r="H319" s="163"/>
      <c r="I319" s="163">
        <v>0</v>
      </c>
      <c r="J319" s="68"/>
      <c r="K319" s="148"/>
      <c r="L319" s="292"/>
    </row>
    <row r="320" spans="1:12" s="15" customFormat="1" ht="17.25" customHeight="1">
      <c r="A320" s="208" t="s">
        <v>262</v>
      </c>
      <c r="B320" s="245" t="s">
        <v>256</v>
      </c>
      <c r="C320" s="160">
        <v>2017</v>
      </c>
      <c r="D320" s="163">
        <v>0</v>
      </c>
      <c r="E320" s="163">
        <v>0</v>
      </c>
      <c r="F320" s="163"/>
      <c r="G320" s="163"/>
      <c r="H320" s="163">
        <v>0</v>
      </c>
      <c r="I320" s="163">
        <v>0</v>
      </c>
      <c r="J320" s="68"/>
      <c r="K320" s="148"/>
      <c r="L320" s="292"/>
    </row>
    <row r="321" spans="1:12" s="15" customFormat="1" ht="17.25" customHeight="1">
      <c r="A321" s="209"/>
      <c r="B321" s="246"/>
      <c r="C321" s="160">
        <v>2018</v>
      </c>
      <c r="D321" s="163">
        <v>0</v>
      </c>
      <c r="E321" s="163">
        <v>0</v>
      </c>
      <c r="F321" s="163"/>
      <c r="G321" s="163"/>
      <c r="H321" s="163">
        <v>0</v>
      </c>
      <c r="I321" s="163">
        <v>0</v>
      </c>
      <c r="J321" s="68"/>
      <c r="K321" s="148"/>
      <c r="L321" s="292"/>
    </row>
    <row r="322" spans="1:12" s="15" customFormat="1" ht="17.25" customHeight="1">
      <c r="A322" s="209"/>
      <c r="B322" s="246"/>
      <c r="C322" s="160">
        <v>2019</v>
      </c>
      <c r="D322" s="163">
        <f>I322</f>
        <v>112.185</v>
      </c>
      <c r="E322" s="163">
        <v>0</v>
      </c>
      <c r="F322" s="163"/>
      <c r="G322" s="163"/>
      <c r="H322" s="163">
        <v>0</v>
      </c>
      <c r="I322" s="163">
        <f>88.345+23.84</f>
        <v>112.185</v>
      </c>
      <c r="J322" s="68"/>
      <c r="K322" s="148" t="s">
        <v>248</v>
      </c>
      <c r="L322" s="292"/>
    </row>
    <row r="323" spans="1:12" s="15" customFormat="1" ht="17.25" customHeight="1">
      <c r="A323" s="209"/>
      <c r="B323" s="246"/>
      <c r="C323" s="160">
        <v>2020</v>
      </c>
      <c r="D323" s="163">
        <v>0</v>
      </c>
      <c r="E323" s="163">
        <v>0</v>
      </c>
      <c r="F323" s="163"/>
      <c r="G323" s="163"/>
      <c r="H323" s="163">
        <v>0</v>
      </c>
      <c r="I323" s="163">
        <v>0</v>
      </c>
      <c r="J323" s="68"/>
      <c r="K323" s="148"/>
      <c r="L323" s="292"/>
    </row>
    <row r="324" spans="1:12" s="15" customFormat="1" ht="17.25" customHeight="1">
      <c r="A324" s="209"/>
      <c r="B324" s="246"/>
      <c r="C324" s="160">
        <v>2021</v>
      </c>
      <c r="D324" s="163">
        <v>0</v>
      </c>
      <c r="E324" s="163">
        <v>0</v>
      </c>
      <c r="F324" s="163"/>
      <c r="G324" s="163"/>
      <c r="H324" s="163">
        <v>0</v>
      </c>
      <c r="I324" s="163">
        <v>0</v>
      </c>
      <c r="J324" s="68"/>
      <c r="K324" s="148"/>
      <c r="L324" s="292"/>
    </row>
    <row r="325" spans="1:12" s="15" customFormat="1" ht="17.25" customHeight="1">
      <c r="A325" s="210"/>
      <c r="B325" s="247"/>
      <c r="C325" s="160">
        <v>2022</v>
      </c>
      <c r="D325" s="163">
        <v>0</v>
      </c>
      <c r="E325" s="163"/>
      <c r="F325" s="163"/>
      <c r="G325" s="163"/>
      <c r="H325" s="163"/>
      <c r="I325" s="163">
        <v>0</v>
      </c>
      <c r="J325" s="68"/>
      <c r="K325" s="148"/>
      <c r="L325" s="292"/>
    </row>
    <row r="326" spans="1:12" s="15" customFormat="1" ht="17.25" customHeight="1">
      <c r="A326" s="208" t="s">
        <v>263</v>
      </c>
      <c r="B326" s="245" t="s">
        <v>257</v>
      </c>
      <c r="C326" s="160">
        <v>2017</v>
      </c>
      <c r="D326" s="163">
        <v>0</v>
      </c>
      <c r="E326" s="163">
        <v>0</v>
      </c>
      <c r="F326" s="163"/>
      <c r="G326" s="163"/>
      <c r="H326" s="163">
        <v>0</v>
      </c>
      <c r="I326" s="163">
        <v>0</v>
      </c>
      <c r="J326" s="68"/>
      <c r="K326" s="148"/>
      <c r="L326" s="292"/>
    </row>
    <row r="327" spans="1:12" s="15" customFormat="1" ht="17.25" customHeight="1">
      <c r="A327" s="209"/>
      <c r="B327" s="246"/>
      <c r="C327" s="160">
        <v>2018</v>
      </c>
      <c r="D327" s="163">
        <v>0</v>
      </c>
      <c r="E327" s="163">
        <v>0</v>
      </c>
      <c r="F327" s="163"/>
      <c r="G327" s="163"/>
      <c r="H327" s="163">
        <v>0</v>
      </c>
      <c r="I327" s="163">
        <v>0</v>
      </c>
      <c r="J327" s="68"/>
      <c r="K327" s="148"/>
      <c r="L327" s="292"/>
    </row>
    <row r="328" spans="1:12" s="15" customFormat="1" ht="17.25" customHeight="1">
      <c r="A328" s="209"/>
      <c r="B328" s="246"/>
      <c r="C328" s="160">
        <v>2019</v>
      </c>
      <c r="D328" s="163">
        <f>I328</f>
        <v>399</v>
      </c>
      <c r="E328" s="163">
        <v>0</v>
      </c>
      <c r="F328" s="163"/>
      <c r="G328" s="163"/>
      <c r="H328" s="163">
        <v>0</v>
      </c>
      <c r="I328" s="163">
        <v>399</v>
      </c>
      <c r="J328" s="68"/>
      <c r="K328" s="148" t="s">
        <v>173</v>
      </c>
      <c r="L328" s="292"/>
    </row>
    <row r="329" spans="1:12" s="15" customFormat="1" ht="17.25" customHeight="1">
      <c r="A329" s="209"/>
      <c r="B329" s="246"/>
      <c r="C329" s="160">
        <v>2020</v>
      </c>
      <c r="D329" s="163">
        <v>0</v>
      </c>
      <c r="E329" s="163">
        <v>0</v>
      </c>
      <c r="F329" s="163"/>
      <c r="G329" s="163"/>
      <c r="H329" s="163">
        <v>0</v>
      </c>
      <c r="I329" s="163">
        <v>0</v>
      </c>
      <c r="J329" s="68"/>
      <c r="K329" s="148"/>
      <c r="L329" s="292"/>
    </row>
    <row r="330" spans="1:12" s="15" customFormat="1" ht="17.25" customHeight="1">
      <c r="A330" s="209"/>
      <c r="B330" s="246"/>
      <c r="C330" s="160">
        <v>2021</v>
      </c>
      <c r="D330" s="163">
        <v>0</v>
      </c>
      <c r="E330" s="163">
        <v>0</v>
      </c>
      <c r="F330" s="163"/>
      <c r="G330" s="163"/>
      <c r="H330" s="163">
        <v>0</v>
      </c>
      <c r="I330" s="163">
        <v>0</v>
      </c>
      <c r="J330" s="68"/>
      <c r="K330" s="148"/>
      <c r="L330" s="292"/>
    </row>
    <row r="331" spans="1:12" s="15" customFormat="1" ht="17.25" customHeight="1">
      <c r="A331" s="210"/>
      <c r="B331" s="247"/>
      <c r="C331" s="160">
        <v>2022</v>
      </c>
      <c r="D331" s="163">
        <v>0</v>
      </c>
      <c r="E331" s="163"/>
      <c r="F331" s="163"/>
      <c r="G331" s="163"/>
      <c r="H331" s="163"/>
      <c r="I331" s="163">
        <v>0</v>
      </c>
      <c r="J331" s="68"/>
      <c r="K331" s="148"/>
      <c r="L331" s="292"/>
    </row>
    <row r="332" spans="1:12" s="15" customFormat="1" ht="17.25" customHeight="1">
      <c r="A332" s="208" t="s">
        <v>264</v>
      </c>
      <c r="B332" s="245" t="s">
        <v>287</v>
      </c>
      <c r="C332" s="160">
        <v>2017</v>
      </c>
      <c r="D332" s="163">
        <v>0</v>
      </c>
      <c r="E332" s="163">
        <v>0</v>
      </c>
      <c r="F332" s="163"/>
      <c r="G332" s="163"/>
      <c r="H332" s="163">
        <v>0</v>
      </c>
      <c r="I332" s="163">
        <v>0</v>
      </c>
      <c r="J332" s="68"/>
      <c r="K332" s="148"/>
      <c r="L332" s="292"/>
    </row>
    <row r="333" spans="1:12" s="15" customFormat="1" ht="17.25" customHeight="1">
      <c r="A333" s="209"/>
      <c r="B333" s="246"/>
      <c r="C333" s="160">
        <v>2018</v>
      </c>
      <c r="D333" s="163">
        <v>0</v>
      </c>
      <c r="E333" s="163">
        <v>0</v>
      </c>
      <c r="F333" s="163"/>
      <c r="G333" s="163"/>
      <c r="H333" s="163">
        <v>0</v>
      </c>
      <c r="I333" s="163">
        <v>0</v>
      </c>
      <c r="J333" s="68"/>
      <c r="K333" s="148"/>
      <c r="L333" s="292"/>
    </row>
    <row r="334" spans="1:12" s="15" customFormat="1" ht="17.25" customHeight="1">
      <c r="A334" s="209"/>
      <c r="B334" s="246"/>
      <c r="C334" s="160">
        <v>2019</v>
      </c>
      <c r="D334" s="163">
        <f>I334</f>
        <v>581.71354</v>
      </c>
      <c r="E334" s="163">
        <v>0</v>
      </c>
      <c r="F334" s="163"/>
      <c r="G334" s="163"/>
      <c r="H334" s="163">
        <v>0</v>
      </c>
      <c r="I334" s="163">
        <f>574.4-116.5+170-46.18646</f>
        <v>581.71354</v>
      </c>
      <c r="J334" s="68"/>
      <c r="K334" s="148" t="s">
        <v>51</v>
      </c>
      <c r="L334" s="292"/>
    </row>
    <row r="335" spans="1:12" s="15" customFormat="1" ht="17.25" customHeight="1">
      <c r="A335" s="209"/>
      <c r="B335" s="246"/>
      <c r="C335" s="160">
        <v>2020</v>
      </c>
      <c r="D335" s="163">
        <v>0</v>
      </c>
      <c r="E335" s="163">
        <v>0</v>
      </c>
      <c r="F335" s="163"/>
      <c r="G335" s="163"/>
      <c r="H335" s="163">
        <v>0</v>
      </c>
      <c r="I335" s="163">
        <v>570</v>
      </c>
      <c r="J335" s="68"/>
      <c r="K335" s="148"/>
      <c r="L335" s="292"/>
    </row>
    <row r="336" spans="1:12" s="15" customFormat="1" ht="17.25" customHeight="1">
      <c r="A336" s="209"/>
      <c r="B336" s="246"/>
      <c r="C336" s="160">
        <v>2021</v>
      </c>
      <c r="D336" s="163">
        <v>0</v>
      </c>
      <c r="E336" s="163">
        <v>0</v>
      </c>
      <c r="F336" s="163"/>
      <c r="G336" s="163"/>
      <c r="H336" s="163">
        <v>0</v>
      </c>
      <c r="I336" s="163">
        <v>0</v>
      </c>
      <c r="J336" s="68"/>
      <c r="K336" s="148"/>
      <c r="L336" s="292"/>
    </row>
    <row r="337" spans="1:12" s="15" customFormat="1" ht="17.25" customHeight="1">
      <c r="A337" s="210"/>
      <c r="B337" s="247"/>
      <c r="C337" s="160">
        <v>2022</v>
      </c>
      <c r="D337" s="163">
        <v>0</v>
      </c>
      <c r="E337" s="163"/>
      <c r="F337" s="163"/>
      <c r="G337" s="163"/>
      <c r="H337" s="163"/>
      <c r="I337" s="163">
        <v>0</v>
      </c>
      <c r="J337" s="68"/>
      <c r="K337" s="148"/>
      <c r="L337" s="292"/>
    </row>
    <row r="338" spans="1:12" s="15" customFormat="1" ht="17.25" customHeight="1">
      <c r="A338" s="208" t="s">
        <v>265</v>
      </c>
      <c r="B338" s="245" t="s">
        <v>276</v>
      </c>
      <c r="C338" s="160">
        <v>2017</v>
      </c>
      <c r="D338" s="163">
        <v>0</v>
      </c>
      <c r="E338" s="163">
        <v>0</v>
      </c>
      <c r="F338" s="163"/>
      <c r="G338" s="163"/>
      <c r="H338" s="163">
        <v>0</v>
      </c>
      <c r="I338" s="163">
        <v>0</v>
      </c>
      <c r="J338" s="68"/>
      <c r="K338" s="148"/>
      <c r="L338" s="292"/>
    </row>
    <row r="339" spans="1:12" s="15" customFormat="1" ht="17.25" customHeight="1">
      <c r="A339" s="209"/>
      <c r="B339" s="246"/>
      <c r="C339" s="160">
        <v>2018</v>
      </c>
      <c r="D339" s="163">
        <v>0</v>
      </c>
      <c r="E339" s="163">
        <v>0</v>
      </c>
      <c r="F339" s="163"/>
      <c r="G339" s="163"/>
      <c r="H339" s="163">
        <v>0</v>
      </c>
      <c r="I339" s="163">
        <v>0</v>
      </c>
      <c r="J339" s="68"/>
      <c r="K339" s="148"/>
      <c r="L339" s="292"/>
    </row>
    <row r="340" spans="1:12" s="15" customFormat="1" ht="17.25" customHeight="1">
      <c r="A340" s="209"/>
      <c r="B340" s="246"/>
      <c r="C340" s="160">
        <v>2019</v>
      </c>
      <c r="D340" s="163">
        <f>I340</f>
        <v>273.154</v>
      </c>
      <c r="E340" s="163"/>
      <c r="F340" s="163"/>
      <c r="G340" s="163"/>
      <c r="H340" s="163"/>
      <c r="I340" s="163">
        <v>273.154</v>
      </c>
      <c r="J340" s="68"/>
      <c r="K340" s="148" t="s">
        <v>258</v>
      </c>
      <c r="L340" s="292"/>
    </row>
    <row r="341" spans="1:12" s="15" customFormat="1" ht="17.25" customHeight="1">
      <c r="A341" s="209"/>
      <c r="B341" s="246"/>
      <c r="C341" s="160">
        <v>2020</v>
      </c>
      <c r="D341" s="163">
        <v>0</v>
      </c>
      <c r="E341" s="163">
        <v>0</v>
      </c>
      <c r="F341" s="163"/>
      <c r="G341" s="163"/>
      <c r="H341" s="163">
        <v>0</v>
      </c>
      <c r="I341" s="163">
        <v>0</v>
      </c>
      <c r="J341" s="68"/>
      <c r="K341" s="148"/>
      <c r="L341" s="292"/>
    </row>
    <row r="342" spans="1:12" s="15" customFormat="1" ht="17.25" customHeight="1">
      <c r="A342" s="209"/>
      <c r="B342" s="247"/>
      <c r="C342" s="160">
        <v>2021</v>
      </c>
      <c r="D342" s="163">
        <v>0</v>
      </c>
      <c r="E342" s="163">
        <v>0</v>
      </c>
      <c r="F342" s="163"/>
      <c r="G342" s="163"/>
      <c r="H342" s="163">
        <v>0</v>
      </c>
      <c r="I342" s="163">
        <v>0</v>
      </c>
      <c r="J342" s="68"/>
      <c r="K342" s="148"/>
      <c r="L342" s="292"/>
    </row>
    <row r="343" spans="1:12" s="15" customFormat="1" ht="17.25" customHeight="1">
      <c r="A343" s="210"/>
      <c r="B343" s="147"/>
      <c r="C343" s="160">
        <v>2022</v>
      </c>
      <c r="D343" s="163">
        <v>0</v>
      </c>
      <c r="E343" s="163"/>
      <c r="F343" s="163"/>
      <c r="G343" s="163"/>
      <c r="H343" s="163"/>
      <c r="I343" s="163">
        <v>0</v>
      </c>
      <c r="J343" s="68"/>
      <c r="K343" s="148"/>
      <c r="L343" s="292"/>
    </row>
    <row r="344" spans="1:12" s="15" customFormat="1" ht="17.25" customHeight="1">
      <c r="A344" s="208" t="s">
        <v>266</v>
      </c>
      <c r="B344" s="245" t="s">
        <v>277</v>
      </c>
      <c r="C344" s="160">
        <v>2017</v>
      </c>
      <c r="D344" s="163">
        <v>0</v>
      </c>
      <c r="E344" s="163">
        <v>0</v>
      </c>
      <c r="F344" s="163"/>
      <c r="G344" s="163"/>
      <c r="H344" s="163">
        <v>0</v>
      </c>
      <c r="I344" s="163">
        <v>0</v>
      </c>
      <c r="J344" s="68"/>
      <c r="K344" s="148"/>
      <c r="L344" s="292"/>
    </row>
    <row r="345" spans="1:12" s="15" customFormat="1" ht="17.25" customHeight="1">
      <c r="A345" s="209"/>
      <c r="B345" s="246"/>
      <c r="C345" s="160">
        <v>2018</v>
      </c>
      <c r="D345" s="163">
        <v>0</v>
      </c>
      <c r="E345" s="163">
        <v>0</v>
      </c>
      <c r="F345" s="163"/>
      <c r="G345" s="163"/>
      <c r="H345" s="163">
        <v>0</v>
      </c>
      <c r="I345" s="163">
        <v>0</v>
      </c>
      <c r="J345" s="68"/>
      <c r="K345" s="148"/>
      <c r="L345" s="292"/>
    </row>
    <row r="346" spans="1:12" s="15" customFormat="1" ht="17.25" customHeight="1">
      <c r="A346" s="209"/>
      <c r="B346" s="246"/>
      <c r="C346" s="160">
        <v>2019</v>
      </c>
      <c r="D346" s="163">
        <f>I346</f>
        <v>43.896</v>
      </c>
      <c r="E346" s="163"/>
      <c r="F346" s="163"/>
      <c r="G346" s="163"/>
      <c r="H346" s="163"/>
      <c r="I346" s="163">
        <f>60-16.104</f>
        <v>43.896</v>
      </c>
      <c r="J346" s="68"/>
      <c r="K346" s="148" t="s">
        <v>51</v>
      </c>
      <c r="L346" s="292"/>
    </row>
    <row r="347" spans="1:12" s="15" customFormat="1" ht="17.25" customHeight="1">
      <c r="A347" s="209"/>
      <c r="B347" s="246"/>
      <c r="C347" s="160">
        <v>2020</v>
      </c>
      <c r="D347" s="163">
        <v>0</v>
      </c>
      <c r="E347" s="163">
        <v>0</v>
      </c>
      <c r="F347" s="163"/>
      <c r="G347" s="163"/>
      <c r="H347" s="163">
        <v>0</v>
      </c>
      <c r="I347" s="163">
        <v>0</v>
      </c>
      <c r="J347" s="68"/>
      <c r="K347" s="148"/>
      <c r="L347" s="292"/>
    </row>
    <row r="348" spans="1:12" s="15" customFormat="1" ht="17.25" customHeight="1">
      <c r="A348" s="209"/>
      <c r="B348" s="246"/>
      <c r="C348" s="160">
        <v>2021</v>
      </c>
      <c r="D348" s="163">
        <v>0</v>
      </c>
      <c r="E348" s="163">
        <v>0</v>
      </c>
      <c r="F348" s="163"/>
      <c r="G348" s="163"/>
      <c r="H348" s="163">
        <v>0</v>
      </c>
      <c r="I348" s="163">
        <v>0</v>
      </c>
      <c r="J348" s="68"/>
      <c r="K348" s="148"/>
      <c r="L348" s="292"/>
    </row>
    <row r="349" spans="1:12" s="15" customFormat="1" ht="17.25" customHeight="1">
      <c r="A349" s="210"/>
      <c r="B349" s="247"/>
      <c r="C349" s="160">
        <v>2022</v>
      </c>
      <c r="D349" s="163">
        <v>0</v>
      </c>
      <c r="E349" s="163"/>
      <c r="F349" s="163"/>
      <c r="G349" s="163"/>
      <c r="H349" s="163"/>
      <c r="I349" s="163">
        <v>0</v>
      </c>
      <c r="J349" s="68"/>
      <c r="K349" s="148"/>
      <c r="L349" s="292"/>
    </row>
    <row r="350" spans="1:12" s="15" customFormat="1" ht="17.25" customHeight="1">
      <c r="A350" s="208" t="s">
        <v>267</v>
      </c>
      <c r="B350" s="245" t="s">
        <v>288</v>
      </c>
      <c r="C350" s="160">
        <v>2017</v>
      </c>
      <c r="D350" s="163">
        <v>0</v>
      </c>
      <c r="E350" s="163">
        <v>0</v>
      </c>
      <c r="F350" s="163"/>
      <c r="G350" s="163"/>
      <c r="H350" s="163">
        <v>0</v>
      </c>
      <c r="I350" s="163">
        <v>0</v>
      </c>
      <c r="J350" s="68"/>
      <c r="K350" s="148"/>
      <c r="L350" s="292"/>
    </row>
    <row r="351" spans="1:12" s="15" customFormat="1" ht="17.25" customHeight="1">
      <c r="A351" s="209"/>
      <c r="B351" s="246"/>
      <c r="C351" s="160">
        <v>2018</v>
      </c>
      <c r="D351" s="163">
        <v>0</v>
      </c>
      <c r="E351" s="163">
        <v>0</v>
      </c>
      <c r="F351" s="163"/>
      <c r="G351" s="163"/>
      <c r="H351" s="163">
        <v>0</v>
      </c>
      <c r="I351" s="163">
        <v>0</v>
      </c>
      <c r="J351" s="68"/>
      <c r="K351" s="148"/>
      <c r="L351" s="292"/>
    </row>
    <row r="352" spans="1:12" s="15" customFormat="1" ht="17.25" customHeight="1">
      <c r="A352" s="209"/>
      <c r="B352" s="246"/>
      <c r="C352" s="160">
        <v>2019</v>
      </c>
      <c r="D352" s="163">
        <f>I352</f>
        <v>83.94</v>
      </c>
      <c r="E352" s="163"/>
      <c r="F352" s="163"/>
      <c r="G352" s="163"/>
      <c r="H352" s="163"/>
      <c r="I352" s="163">
        <v>83.94</v>
      </c>
      <c r="J352" s="68"/>
      <c r="K352" s="148" t="s">
        <v>173</v>
      </c>
      <c r="L352" s="292"/>
    </row>
    <row r="353" spans="1:12" s="15" customFormat="1" ht="17.25" customHeight="1">
      <c r="A353" s="209"/>
      <c r="B353" s="246"/>
      <c r="C353" s="160">
        <v>2020</v>
      </c>
      <c r="D353" s="163">
        <v>0</v>
      </c>
      <c r="E353" s="163">
        <v>0</v>
      </c>
      <c r="F353" s="163"/>
      <c r="G353" s="163"/>
      <c r="H353" s="163">
        <v>0</v>
      </c>
      <c r="I353" s="163">
        <v>0</v>
      </c>
      <c r="J353" s="68"/>
      <c r="K353" s="148"/>
      <c r="L353" s="292"/>
    </row>
    <row r="354" spans="1:12" s="15" customFormat="1" ht="17.25" customHeight="1">
      <c r="A354" s="209"/>
      <c r="B354" s="246"/>
      <c r="C354" s="160">
        <v>2021</v>
      </c>
      <c r="D354" s="163">
        <v>0</v>
      </c>
      <c r="E354" s="163">
        <v>0</v>
      </c>
      <c r="F354" s="163"/>
      <c r="G354" s="163"/>
      <c r="H354" s="163">
        <v>0</v>
      </c>
      <c r="I354" s="163">
        <v>0</v>
      </c>
      <c r="J354" s="68"/>
      <c r="K354" s="148"/>
      <c r="L354" s="292"/>
    </row>
    <row r="355" spans="1:12" s="15" customFormat="1" ht="17.25" customHeight="1">
      <c r="A355" s="210"/>
      <c r="B355" s="247"/>
      <c r="C355" s="160">
        <v>2022</v>
      </c>
      <c r="D355" s="163">
        <v>0</v>
      </c>
      <c r="E355" s="163"/>
      <c r="F355" s="163"/>
      <c r="G355" s="163"/>
      <c r="H355" s="163"/>
      <c r="I355" s="163">
        <v>0</v>
      </c>
      <c r="J355" s="68"/>
      <c r="K355" s="148"/>
      <c r="L355" s="292"/>
    </row>
    <row r="356" spans="1:12" s="15" customFormat="1" ht="17.25" customHeight="1">
      <c r="A356" s="208" t="s">
        <v>268</v>
      </c>
      <c r="B356" s="245" t="s">
        <v>289</v>
      </c>
      <c r="C356" s="160">
        <v>2017</v>
      </c>
      <c r="D356" s="163">
        <v>0</v>
      </c>
      <c r="E356" s="163">
        <v>0</v>
      </c>
      <c r="F356" s="163"/>
      <c r="G356" s="163"/>
      <c r="H356" s="163">
        <v>0</v>
      </c>
      <c r="I356" s="163">
        <v>0</v>
      </c>
      <c r="J356" s="68"/>
      <c r="K356" s="148"/>
      <c r="L356" s="292"/>
    </row>
    <row r="357" spans="1:12" s="15" customFormat="1" ht="17.25" customHeight="1">
      <c r="A357" s="209"/>
      <c r="B357" s="246"/>
      <c r="C357" s="160">
        <v>2018</v>
      </c>
      <c r="D357" s="163">
        <v>0</v>
      </c>
      <c r="E357" s="163">
        <v>0</v>
      </c>
      <c r="F357" s="163"/>
      <c r="G357" s="163"/>
      <c r="H357" s="163">
        <v>0</v>
      </c>
      <c r="I357" s="163">
        <v>0</v>
      </c>
      <c r="J357" s="68"/>
      <c r="K357" s="148"/>
      <c r="L357" s="292"/>
    </row>
    <row r="358" spans="1:12" s="15" customFormat="1" ht="17.25" customHeight="1">
      <c r="A358" s="209"/>
      <c r="B358" s="246"/>
      <c r="C358" s="160">
        <v>2019</v>
      </c>
      <c r="D358" s="163">
        <f>I358</f>
        <v>319.93</v>
      </c>
      <c r="E358" s="163"/>
      <c r="F358" s="163"/>
      <c r="G358" s="163"/>
      <c r="H358" s="163"/>
      <c r="I358" s="163">
        <f>50+210+100-0.029-0.041-40</f>
        <v>319.93</v>
      </c>
      <c r="J358" s="68"/>
      <c r="K358" s="148" t="s">
        <v>255</v>
      </c>
      <c r="L358" s="292"/>
    </row>
    <row r="359" spans="1:12" s="15" customFormat="1" ht="17.25" customHeight="1">
      <c r="A359" s="209"/>
      <c r="B359" s="246"/>
      <c r="C359" s="160">
        <v>2020</v>
      </c>
      <c r="D359" s="163">
        <v>0</v>
      </c>
      <c r="E359" s="163">
        <v>0</v>
      </c>
      <c r="F359" s="163"/>
      <c r="G359" s="163"/>
      <c r="H359" s="163">
        <v>0</v>
      </c>
      <c r="I359" s="163">
        <v>0</v>
      </c>
      <c r="J359" s="68"/>
      <c r="K359" s="148"/>
      <c r="L359" s="292"/>
    </row>
    <row r="360" spans="1:12" s="15" customFormat="1" ht="17.25" customHeight="1">
      <c r="A360" s="209"/>
      <c r="B360" s="246"/>
      <c r="C360" s="160">
        <v>2021</v>
      </c>
      <c r="D360" s="163">
        <v>0</v>
      </c>
      <c r="E360" s="163">
        <v>0</v>
      </c>
      <c r="F360" s="163"/>
      <c r="G360" s="163"/>
      <c r="H360" s="163">
        <v>0</v>
      </c>
      <c r="I360" s="163">
        <v>0</v>
      </c>
      <c r="J360" s="68"/>
      <c r="K360" s="148"/>
      <c r="L360" s="292"/>
    </row>
    <row r="361" spans="1:12" s="15" customFormat="1" ht="17.25" customHeight="1">
      <c r="A361" s="210"/>
      <c r="B361" s="247"/>
      <c r="C361" s="160">
        <v>2022</v>
      </c>
      <c r="D361" s="163">
        <v>0</v>
      </c>
      <c r="E361" s="163"/>
      <c r="F361" s="163"/>
      <c r="G361" s="163"/>
      <c r="H361" s="163"/>
      <c r="I361" s="163">
        <v>0</v>
      </c>
      <c r="J361" s="68"/>
      <c r="K361" s="148"/>
      <c r="L361" s="292"/>
    </row>
    <row r="362" spans="1:12" s="15" customFormat="1" ht="17.25" customHeight="1">
      <c r="A362" s="208" t="s">
        <v>269</v>
      </c>
      <c r="B362" s="245" t="s">
        <v>290</v>
      </c>
      <c r="C362" s="160">
        <v>2017</v>
      </c>
      <c r="D362" s="163">
        <v>0</v>
      </c>
      <c r="E362" s="163">
        <v>0</v>
      </c>
      <c r="F362" s="163"/>
      <c r="G362" s="163"/>
      <c r="H362" s="163">
        <v>0</v>
      </c>
      <c r="I362" s="163">
        <v>0</v>
      </c>
      <c r="J362" s="68"/>
      <c r="K362" s="148"/>
      <c r="L362" s="292"/>
    </row>
    <row r="363" spans="1:12" s="15" customFormat="1" ht="17.25" customHeight="1">
      <c r="A363" s="209"/>
      <c r="B363" s="246"/>
      <c r="C363" s="160">
        <v>2018</v>
      </c>
      <c r="D363" s="163">
        <v>0</v>
      </c>
      <c r="E363" s="163">
        <v>0</v>
      </c>
      <c r="F363" s="163"/>
      <c r="G363" s="163"/>
      <c r="H363" s="163">
        <v>0</v>
      </c>
      <c r="I363" s="163">
        <v>0</v>
      </c>
      <c r="J363" s="68"/>
      <c r="K363" s="148"/>
      <c r="L363" s="292"/>
    </row>
    <row r="364" spans="1:12" s="15" customFormat="1" ht="17.25" customHeight="1">
      <c r="A364" s="209"/>
      <c r="B364" s="246"/>
      <c r="C364" s="160">
        <v>2019</v>
      </c>
      <c r="D364" s="163">
        <f>I364</f>
        <v>39.9</v>
      </c>
      <c r="E364" s="163"/>
      <c r="F364" s="163"/>
      <c r="G364" s="163"/>
      <c r="H364" s="163"/>
      <c r="I364" s="163">
        <f>40-0.1</f>
        <v>39.9</v>
      </c>
      <c r="J364" s="68"/>
      <c r="K364" s="148" t="s">
        <v>255</v>
      </c>
      <c r="L364" s="292"/>
    </row>
    <row r="365" spans="1:12" s="15" customFormat="1" ht="17.25" customHeight="1">
      <c r="A365" s="209"/>
      <c r="B365" s="246"/>
      <c r="C365" s="160">
        <v>2020</v>
      </c>
      <c r="D365" s="163">
        <v>0</v>
      </c>
      <c r="E365" s="163">
        <v>0</v>
      </c>
      <c r="F365" s="163"/>
      <c r="G365" s="163"/>
      <c r="H365" s="163">
        <v>0</v>
      </c>
      <c r="I365" s="163">
        <v>0</v>
      </c>
      <c r="J365" s="68"/>
      <c r="K365" s="148"/>
      <c r="L365" s="292"/>
    </row>
    <row r="366" spans="1:12" s="15" customFormat="1" ht="17.25" customHeight="1">
      <c r="A366" s="209"/>
      <c r="B366" s="246"/>
      <c r="C366" s="160">
        <v>2021</v>
      </c>
      <c r="D366" s="163">
        <v>0</v>
      </c>
      <c r="E366" s="163">
        <v>0</v>
      </c>
      <c r="F366" s="163"/>
      <c r="G366" s="163"/>
      <c r="H366" s="163">
        <v>0</v>
      </c>
      <c r="I366" s="163">
        <v>0</v>
      </c>
      <c r="J366" s="68"/>
      <c r="K366" s="148"/>
      <c r="L366" s="292"/>
    </row>
    <row r="367" spans="1:12" s="15" customFormat="1" ht="17.25" customHeight="1">
      <c r="A367" s="210"/>
      <c r="B367" s="247"/>
      <c r="C367" s="160">
        <v>2022</v>
      </c>
      <c r="D367" s="163">
        <v>0</v>
      </c>
      <c r="E367" s="163"/>
      <c r="F367" s="163"/>
      <c r="G367" s="163"/>
      <c r="H367" s="163"/>
      <c r="I367" s="163">
        <v>0</v>
      </c>
      <c r="J367" s="68"/>
      <c r="K367" s="148"/>
      <c r="L367" s="292"/>
    </row>
    <row r="368" spans="1:12" s="15" customFormat="1" ht="17.25" customHeight="1">
      <c r="A368" s="208" t="s">
        <v>270</v>
      </c>
      <c r="B368" s="245" t="s">
        <v>291</v>
      </c>
      <c r="C368" s="160">
        <v>2017</v>
      </c>
      <c r="D368" s="163">
        <v>0</v>
      </c>
      <c r="E368" s="163">
        <v>0</v>
      </c>
      <c r="F368" s="163"/>
      <c r="G368" s="163"/>
      <c r="H368" s="163">
        <v>0</v>
      </c>
      <c r="I368" s="163">
        <v>0</v>
      </c>
      <c r="J368" s="68"/>
      <c r="K368" s="148"/>
      <c r="L368" s="292"/>
    </row>
    <row r="369" spans="1:12" s="15" customFormat="1" ht="17.25" customHeight="1">
      <c r="A369" s="209"/>
      <c r="B369" s="246"/>
      <c r="C369" s="160">
        <v>2018</v>
      </c>
      <c r="D369" s="163">
        <v>0</v>
      </c>
      <c r="E369" s="163">
        <v>0</v>
      </c>
      <c r="F369" s="163"/>
      <c r="G369" s="163"/>
      <c r="H369" s="163">
        <v>0</v>
      </c>
      <c r="I369" s="163">
        <v>0</v>
      </c>
      <c r="J369" s="68"/>
      <c r="K369" s="148"/>
      <c r="L369" s="292"/>
    </row>
    <row r="370" spans="1:12" s="15" customFormat="1" ht="17.25" customHeight="1">
      <c r="A370" s="209"/>
      <c r="B370" s="246"/>
      <c r="C370" s="160">
        <v>2019</v>
      </c>
      <c r="D370" s="163">
        <f>I370</f>
        <v>99.891</v>
      </c>
      <c r="E370" s="163"/>
      <c r="F370" s="163"/>
      <c r="G370" s="163"/>
      <c r="H370" s="163"/>
      <c r="I370" s="163">
        <f>100-0.109</f>
        <v>99.891</v>
      </c>
      <c r="J370" s="68"/>
      <c r="K370" s="148" t="s">
        <v>255</v>
      </c>
      <c r="L370" s="292"/>
    </row>
    <row r="371" spans="1:12" s="15" customFormat="1" ht="17.25" customHeight="1">
      <c r="A371" s="209"/>
      <c r="B371" s="246"/>
      <c r="C371" s="160">
        <v>2020</v>
      </c>
      <c r="D371" s="163">
        <v>0</v>
      </c>
      <c r="E371" s="163">
        <v>0</v>
      </c>
      <c r="F371" s="163"/>
      <c r="G371" s="163"/>
      <c r="H371" s="163">
        <v>0</v>
      </c>
      <c r="I371" s="163">
        <v>0</v>
      </c>
      <c r="J371" s="68"/>
      <c r="K371" s="148"/>
      <c r="L371" s="292"/>
    </row>
    <row r="372" spans="1:12" s="15" customFormat="1" ht="17.25" customHeight="1">
      <c r="A372" s="209"/>
      <c r="B372" s="246"/>
      <c r="C372" s="160">
        <v>2021</v>
      </c>
      <c r="D372" s="163">
        <v>0</v>
      </c>
      <c r="E372" s="163">
        <v>0</v>
      </c>
      <c r="F372" s="163"/>
      <c r="G372" s="163"/>
      <c r="H372" s="163">
        <v>0</v>
      </c>
      <c r="I372" s="163">
        <v>0</v>
      </c>
      <c r="J372" s="68"/>
      <c r="K372" s="148"/>
      <c r="L372" s="292"/>
    </row>
    <row r="373" spans="1:12" s="15" customFormat="1" ht="17.25" customHeight="1">
      <c r="A373" s="210"/>
      <c r="B373" s="247"/>
      <c r="C373" s="160">
        <v>2022</v>
      </c>
      <c r="D373" s="163">
        <v>0</v>
      </c>
      <c r="E373" s="163"/>
      <c r="F373" s="163"/>
      <c r="G373" s="163"/>
      <c r="H373" s="163"/>
      <c r="I373" s="163">
        <v>0</v>
      </c>
      <c r="J373" s="68"/>
      <c r="K373" s="148"/>
      <c r="L373" s="292"/>
    </row>
    <row r="374" spans="1:12" s="15" customFormat="1" ht="17.25" customHeight="1">
      <c r="A374" s="208" t="s">
        <v>271</v>
      </c>
      <c r="B374" s="245" t="s">
        <v>260</v>
      </c>
      <c r="C374" s="160">
        <v>2017</v>
      </c>
      <c r="D374" s="163">
        <v>0</v>
      </c>
      <c r="E374" s="163">
        <v>0</v>
      </c>
      <c r="F374" s="163"/>
      <c r="G374" s="163"/>
      <c r="H374" s="163">
        <v>0</v>
      </c>
      <c r="I374" s="163">
        <v>0</v>
      </c>
      <c r="J374" s="68"/>
      <c r="K374" s="148"/>
      <c r="L374" s="292"/>
    </row>
    <row r="375" spans="1:12" s="15" customFormat="1" ht="17.25" customHeight="1">
      <c r="A375" s="209"/>
      <c r="B375" s="246"/>
      <c r="C375" s="160">
        <v>2018</v>
      </c>
      <c r="D375" s="163">
        <v>0</v>
      </c>
      <c r="E375" s="163">
        <v>0</v>
      </c>
      <c r="F375" s="163"/>
      <c r="G375" s="163"/>
      <c r="H375" s="163">
        <v>0</v>
      </c>
      <c r="I375" s="163">
        <v>0</v>
      </c>
      <c r="J375" s="68"/>
      <c r="K375" s="148"/>
      <c r="L375" s="292"/>
    </row>
    <row r="376" spans="1:12" s="15" customFormat="1" ht="17.25" customHeight="1">
      <c r="A376" s="209"/>
      <c r="B376" s="246"/>
      <c r="C376" s="160">
        <v>2019</v>
      </c>
      <c r="D376" s="163">
        <f>I376</f>
        <v>59.927</v>
      </c>
      <c r="E376" s="163"/>
      <c r="F376" s="163"/>
      <c r="G376" s="163"/>
      <c r="H376" s="163"/>
      <c r="I376" s="163">
        <f>60-0.073</f>
        <v>59.927</v>
      </c>
      <c r="J376" s="68"/>
      <c r="K376" s="148" t="s">
        <v>248</v>
      </c>
      <c r="L376" s="292"/>
    </row>
    <row r="377" spans="1:12" s="15" customFormat="1" ht="17.25" customHeight="1">
      <c r="A377" s="209"/>
      <c r="B377" s="246"/>
      <c r="C377" s="160">
        <v>2020</v>
      </c>
      <c r="D377" s="163">
        <v>0</v>
      </c>
      <c r="E377" s="163">
        <v>0</v>
      </c>
      <c r="F377" s="163"/>
      <c r="G377" s="163"/>
      <c r="H377" s="163">
        <v>0</v>
      </c>
      <c r="I377" s="163">
        <v>0</v>
      </c>
      <c r="J377" s="68"/>
      <c r="K377" s="148"/>
      <c r="L377" s="292"/>
    </row>
    <row r="378" spans="1:12" s="15" customFormat="1" ht="17.25" customHeight="1">
      <c r="A378" s="209"/>
      <c r="B378" s="246"/>
      <c r="C378" s="160">
        <v>2021</v>
      </c>
      <c r="D378" s="163">
        <v>0</v>
      </c>
      <c r="E378" s="163">
        <v>0</v>
      </c>
      <c r="F378" s="163"/>
      <c r="G378" s="163"/>
      <c r="H378" s="163">
        <v>0</v>
      </c>
      <c r="I378" s="163">
        <v>0</v>
      </c>
      <c r="J378" s="68"/>
      <c r="K378" s="148"/>
      <c r="L378" s="292"/>
    </row>
    <row r="379" spans="1:12" s="15" customFormat="1" ht="17.25" customHeight="1">
      <c r="A379" s="210"/>
      <c r="B379" s="247"/>
      <c r="C379" s="160">
        <v>2022</v>
      </c>
      <c r="D379" s="163">
        <v>0</v>
      </c>
      <c r="E379" s="163"/>
      <c r="F379" s="163"/>
      <c r="G379" s="163"/>
      <c r="H379" s="163"/>
      <c r="I379" s="163">
        <v>0</v>
      </c>
      <c r="J379" s="68"/>
      <c r="K379" s="148"/>
      <c r="L379" s="292"/>
    </row>
    <row r="380" spans="1:12" s="15" customFormat="1" ht="17.25" customHeight="1">
      <c r="A380" s="216" t="s">
        <v>272</v>
      </c>
      <c r="B380" s="257" t="s">
        <v>292</v>
      </c>
      <c r="C380" s="160">
        <v>2017</v>
      </c>
      <c r="D380" s="163">
        <v>0</v>
      </c>
      <c r="E380" s="163">
        <v>0</v>
      </c>
      <c r="F380" s="163"/>
      <c r="G380" s="163"/>
      <c r="H380" s="163">
        <v>0</v>
      </c>
      <c r="I380" s="163">
        <v>0</v>
      </c>
      <c r="J380" s="68"/>
      <c r="K380" s="148"/>
      <c r="L380" s="292"/>
    </row>
    <row r="381" spans="1:12" s="15" customFormat="1" ht="17.25" customHeight="1">
      <c r="A381" s="216"/>
      <c r="B381" s="257"/>
      <c r="C381" s="160">
        <v>2018</v>
      </c>
      <c r="D381" s="163">
        <v>0</v>
      </c>
      <c r="E381" s="163">
        <v>0</v>
      </c>
      <c r="F381" s="163"/>
      <c r="G381" s="163"/>
      <c r="H381" s="163">
        <v>0</v>
      </c>
      <c r="I381" s="163">
        <v>0</v>
      </c>
      <c r="J381" s="68"/>
      <c r="K381" s="148"/>
      <c r="L381" s="292"/>
    </row>
    <row r="382" spans="1:12" s="15" customFormat="1" ht="17.25" customHeight="1">
      <c r="A382" s="216"/>
      <c r="B382" s="257"/>
      <c r="C382" s="160">
        <v>2019</v>
      </c>
      <c r="D382" s="163">
        <f>I382</f>
        <v>90</v>
      </c>
      <c r="E382" s="163"/>
      <c r="F382" s="163"/>
      <c r="G382" s="163"/>
      <c r="H382" s="163"/>
      <c r="I382" s="163">
        <f>30+60</f>
        <v>90</v>
      </c>
      <c r="J382" s="68"/>
      <c r="K382" s="148" t="s">
        <v>261</v>
      </c>
      <c r="L382" s="292"/>
    </row>
    <row r="383" spans="1:12" s="15" customFormat="1" ht="17.25" customHeight="1">
      <c r="A383" s="216"/>
      <c r="B383" s="257"/>
      <c r="C383" s="160">
        <v>2020</v>
      </c>
      <c r="D383" s="163">
        <v>0</v>
      </c>
      <c r="E383" s="163">
        <v>0</v>
      </c>
      <c r="F383" s="163"/>
      <c r="G383" s="163"/>
      <c r="H383" s="163">
        <v>0</v>
      </c>
      <c r="I383" s="163">
        <v>0</v>
      </c>
      <c r="J383" s="68"/>
      <c r="K383" s="148"/>
      <c r="L383" s="292"/>
    </row>
    <row r="384" spans="1:12" s="15" customFormat="1" ht="17.25" customHeight="1">
      <c r="A384" s="216"/>
      <c r="B384" s="257"/>
      <c r="C384" s="160">
        <v>2021</v>
      </c>
      <c r="D384" s="163">
        <v>0</v>
      </c>
      <c r="E384" s="163">
        <v>0</v>
      </c>
      <c r="F384" s="163"/>
      <c r="G384" s="163"/>
      <c r="H384" s="163">
        <v>0</v>
      </c>
      <c r="I384" s="163">
        <v>0</v>
      </c>
      <c r="J384" s="68"/>
      <c r="K384" s="148"/>
      <c r="L384" s="292"/>
    </row>
    <row r="385" spans="1:12" s="15" customFormat="1" ht="17.25" customHeight="1">
      <c r="A385" s="216"/>
      <c r="B385" s="257"/>
      <c r="C385" s="160">
        <v>2022</v>
      </c>
      <c r="D385" s="163">
        <v>0</v>
      </c>
      <c r="E385" s="163"/>
      <c r="F385" s="163"/>
      <c r="G385" s="163"/>
      <c r="H385" s="163"/>
      <c r="I385" s="163">
        <v>0</v>
      </c>
      <c r="J385" s="68"/>
      <c r="K385" s="148"/>
      <c r="L385" s="292"/>
    </row>
    <row r="386" spans="1:12" s="15" customFormat="1" ht="17.25" customHeight="1">
      <c r="A386" s="216" t="s">
        <v>298</v>
      </c>
      <c r="B386" s="257" t="s">
        <v>301</v>
      </c>
      <c r="C386" s="160">
        <v>2017</v>
      </c>
      <c r="D386" s="163">
        <v>0</v>
      </c>
      <c r="E386" s="163">
        <v>0</v>
      </c>
      <c r="F386" s="163"/>
      <c r="G386" s="163"/>
      <c r="H386" s="163">
        <v>0</v>
      </c>
      <c r="I386" s="163">
        <v>0</v>
      </c>
      <c r="J386" s="68"/>
      <c r="K386" s="148"/>
      <c r="L386" s="292"/>
    </row>
    <row r="387" spans="1:12" s="15" customFormat="1" ht="17.25" customHeight="1">
      <c r="A387" s="216"/>
      <c r="B387" s="257"/>
      <c r="C387" s="160">
        <v>2018</v>
      </c>
      <c r="D387" s="163">
        <v>0</v>
      </c>
      <c r="E387" s="163">
        <v>0</v>
      </c>
      <c r="F387" s="163"/>
      <c r="G387" s="163"/>
      <c r="H387" s="163">
        <v>0</v>
      </c>
      <c r="I387" s="163">
        <v>0</v>
      </c>
      <c r="J387" s="68"/>
      <c r="K387" s="148"/>
      <c r="L387" s="292"/>
    </row>
    <row r="388" spans="1:12" s="15" customFormat="1" ht="17.25" customHeight="1">
      <c r="A388" s="216"/>
      <c r="B388" s="257"/>
      <c r="C388" s="160">
        <v>2019</v>
      </c>
      <c r="D388" s="163">
        <f>I388</f>
        <v>221.458</v>
      </c>
      <c r="E388" s="163"/>
      <c r="F388" s="163"/>
      <c r="G388" s="163"/>
      <c r="H388" s="163"/>
      <c r="I388" s="163">
        <f>223-1.542</f>
        <v>221.458</v>
      </c>
      <c r="J388" s="68"/>
      <c r="K388" s="148" t="s">
        <v>255</v>
      </c>
      <c r="L388" s="292"/>
    </row>
    <row r="389" spans="1:12" s="15" customFormat="1" ht="17.25" customHeight="1">
      <c r="A389" s="216"/>
      <c r="B389" s="257"/>
      <c r="C389" s="160">
        <v>2020</v>
      </c>
      <c r="D389" s="163">
        <v>0</v>
      </c>
      <c r="E389" s="163">
        <v>0</v>
      </c>
      <c r="F389" s="163"/>
      <c r="G389" s="163"/>
      <c r="H389" s="163">
        <v>0</v>
      </c>
      <c r="I389" s="163">
        <v>0</v>
      </c>
      <c r="J389" s="68"/>
      <c r="K389" s="148"/>
      <c r="L389" s="292"/>
    </row>
    <row r="390" spans="1:12" s="15" customFormat="1" ht="17.25" customHeight="1">
      <c r="A390" s="216"/>
      <c r="B390" s="257"/>
      <c r="C390" s="160">
        <v>2021</v>
      </c>
      <c r="D390" s="163">
        <v>0</v>
      </c>
      <c r="E390" s="163">
        <v>0</v>
      </c>
      <c r="F390" s="163"/>
      <c r="G390" s="163"/>
      <c r="H390" s="163">
        <v>0</v>
      </c>
      <c r="I390" s="163">
        <v>0</v>
      </c>
      <c r="J390" s="68"/>
      <c r="K390" s="148"/>
      <c r="L390" s="292"/>
    </row>
    <row r="391" spans="1:12" s="15" customFormat="1" ht="17.25" customHeight="1">
      <c r="A391" s="216"/>
      <c r="B391" s="257"/>
      <c r="C391" s="160">
        <v>2022</v>
      </c>
      <c r="D391" s="163">
        <v>0</v>
      </c>
      <c r="E391" s="163"/>
      <c r="F391" s="163"/>
      <c r="G391" s="163"/>
      <c r="H391" s="163"/>
      <c r="I391" s="163">
        <v>0</v>
      </c>
      <c r="J391" s="68"/>
      <c r="K391" s="148"/>
      <c r="L391" s="292"/>
    </row>
    <row r="392" spans="1:12" s="15" customFormat="1" ht="17.25" customHeight="1">
      <c r="A392" s="216" t="s">
        <v>299</v>
      </c>
      <c r="B392" s="257" t="s">
        <v>300</v>
      </c>
      <c r="C392" s="160">
        <v>2017</v>
      </c>
      <c r="D392" s="163">
        <v>0</v>
      </c>
      <c r="E392" s="163">
        <v>0</v>
      </c>
      <c r="F392" s="163"/>
      <c r="G392" s="163"/>
      <c r="H392" s="163">
        <v>0</v>
      </c>
      <c r="I392" s="163">
        <v>0</v>
      </c>
      <c r="J392" s="68"/>
      <c r="K392" s="148"/>
      <c r="L392" s="292"/>
    </row>
    <row r="393" spans="1:12" s="15" customFormat="1" ht="17.25" customHeight="1">
      <c r="A393" s="216"/>
      <c r="B393" s="257"/>
      <c r="C393" s="160">
        <v>2018</v>
      </c>
      <c r="D393" s="163">
        <v>0</v>
      </c>
      <c r="E393" s="163">
        <v>0</v>
      </c>
      <c r="F393" s="163"/>
      <c r="G393" s="163"/>
      <c r="H393" s="163">
        <v>0</v>
      </c>
      <c r="I393" s="163">
        <v>0</v>
      </c>
      <c r="J393" s="68"/>
      <c r="K393" s="148"/>
      <c r="L393" s="292"/>
    </row>
    <row r="394" spans="1:12" s="15" customFormat="1" ht="17.25" customHeight="1">
      <c r="A394" s="216"/>
      <c r="B394" s="257"/>
      <c r="C394" s="160">
        <v>2019</v>
      </c>
      <c r="D394" s="163">
        <f>I394</f>
        <v>330.132</v>
      </c>
      <c r="E394" s="163"/>
      <c r="F394" s="163"/>
      <c r="G394" s="163"/>
      <c r="H394" s="163"/>
      <c r="I394" s="163">
        <f>361.666-31.534</f>
        <v>330.132</v>
      </c>
      <c r="J394" s="68"/>
      <c r="K394" s="148" t="s">
        <v>173</v>
      </c>
      <c r="L394" s="292"/>
    </row>
    <row r="395" spans="1:12" s="15" customFormat="1" ht="17.25" customHeight="1">
      <c r="A395" s="216"/>
      <c r="B395" s="257"/>
      <c r="C395" s="160">
        <v>2020</v>
      </c>
      <c r="D395" s="163">
        <v>0</v>
      </c>
      <c r="E395" s="163">
        <v>0</v>
      </c>
      <c r="F395" s="163"/>
      <c r="G395" s="163"/>
      <c r="H395" s="163">
        <v>0</v>
      </c>
      <c r="I395" s="163">
        <v>0</v>
      </c>
      <c r="J395" s="68"/>
      <c r="K395" s="148"/>
      <c r="L395" s="292"/>
    </row>
    <row r="396" spans="1:12" s="15" customFormat="1" ht="17.25" customHeight="1">
      <c r="A396" s="216"/>
      <c r="B396" s="257"/>
      <c r="C396" s="160">
        <v>2021</v>
      </c>
      <c r="D396" s="163">
        <v>0</v>
      </c>
      <c r="E396" s="163">
        <v>0</v>
      </c>
      <c r="F396" s="163"/>
      <c r="G396" s="163"/>
      <c r="H396" s="163">
        <v>0</v>
      </c>
      <c r="I396" s="163">
        <v>0</v>
      </c>
      <c r="J396" s="68"/>
      <c r="K396" s="148"/>
      <c r="L396" s="292"/>
    </row>
    <row r="397" spans="1:12" s="15" customFormat="1" ht="17.25" customHeight="1">
      <c r="A397" s="216"/>
      <c r="B397" s="257"/>
      <c r="C397" s="160">
        <v>2022</v>
      </c>
      <c r="D397" s="163">
        <v>0</v>
      </c>
      <c r="E397" s="163">
        <v>0</v>
      </c>
      <c r="F397" s="163">
        <v>0</v>
      </c>
      <c r="G397" s="163">
        <v>0</v>
      </c>
      <c r="H397" s="163">
        <v>0</v>
      </c>
      <c r="I397" s="163">
        <v>0</v>
      </c>
      <c r="J397" s="68"/>
      <c r="K397" s="148"/>
      <c r="L397" s="292"/>
    </row>
    <row r="398" spans="1:12" s="15" customFormat="1" ht="17.25" customHeight="1">
      <c r="A398" s="216" t="s">
        <v>323</v>
      </c>
      <c r="B398" s="215" t="s">
        <v>320</v>
      </c>
      <c r="C398" s="160">
        <v>2017</v>
      </c>
      <c r="D398" s="163">
        <v>0</v>
      </c>
      <c r="E398" s="163">
        <v>0</v>
      </c>
      <c r="F398" s="163"/>
      <c r="G398" s="163"/>
      <c r="H398" s="163">
        <v>0</v>
      </c>
      <c r="I398" s="163">
        <v>0</v>
      </c>
      <c r="J398" s="68"/>
      <c r="K398" s="154"/>
      <c r="L398" s="292"/>
    </row>
    <row r="399" spans="1:12" s="15" customFormat="1" ht="17.25" customHeight="1">
      <c r="A399" s="216"/>
      <c r="B399" s="215"/>
      <c r="C399" s="160">
        <v>2018</v>
      </c>
      <c r="D399" s="163">
        <v>0</v>
      </c>
      <c r="E399" s="163">
        <v>0</v>
      </c>
      <c r="F399" s="163"/>
      <c r="G399" s="163"/>
      <c r="H399" s="163">
        <v>0</v>
      </c>
      <c r="I399" s="163">
        <v>0</v>
      </c>
      <c r="J399" s="68"/>
      <c r="K399" s="154"/>
      <c r="L399" s="292"/>
    </row>
    <row r="400" spans="1:12" s="15" customFormat="1" ht="17.25" customHeight="1">
      <c r="A400" s="216"/>
      <c r="B400" s="215"/>
      <c r="C400" s="160">
        <v>2019</v>
      </c>
      <c r="D400" s="163">
        <f>E400+H400+I400</f>
        <v>143.621</v>
      </c>
      <c r="E400" s="163">
        <v>0</v>
      </c>
      <c r="F400" s="163"/>
      <c r="G400" s="163"/>
      <c r="H400" s="163">
        <v>0</v>
      </c>
      <c r="I400" s="163">
        <v>143.621</v>
      </c>
      <c r="J400" s="68"/>
      <c r="K400" s="154" t="s">
        <v>252</v>
      </c>
      <c r="L400" s="292"/>
    </row>
    <row r="401" spans="1:12" s="15" customFormat="1" ht="17.25" customHeight="1">
      <c r="A401" s="216"/>
      <c r="B401" s="215"/>
      <c r="C401" s="160">
        <v>2020</v>
      </c>
      <c r="D401" s="163">
        <v>0</v>
      </c>
      <c r="E401" s="163">
        <v>0</v>
      </c>
      <c r="F401" s="163"/>
      <c r="G401" s="163"/>
      <c r="H401" s="163">
        <v>0</v>
      </c>
      <c r="I401" s="163">
        <v>0</v>
      </c>
      <c r="J401" s="68"/>
      <c r="K401" s="154"/>
      <c r="L401" s="292"/>
    </row>
    <row r="402" spans="1:12" s="15" customFormat="1" ht="17.25" customHeight="1">
      <c r="A402" s="216"/>
      <c r="B402" s="215"/>
      <c r="C402" s="160">
        <v>2021</v>
      </c>
      <c r="D402" s="163">
        <v>0</v>
      </c>
      <c r="E402" s="163">
        <v>0</v>
      </c>
      <c r="F402" s="163"/>
      <c r="G402" s="163"/>
      <c r="H402" s="163">
        <v>0</v>
      </c>
      <c r="I402" s="163">
        <v>0</v>
      </c>
      <c r="J402" s="68"/>
      <c r="K402" s="154"/>
      <c r="L402" s="292"/>
    </row>
    <row r="403" spans="1:12" s="15" customFormat="1" ht="17.25" customHeight="1">
      <c r="A403" s="216"/>
      <c r="B403" s="215"/>
      <c r="C403" s="160">
        <v>2022</v>
      </c>
      <c r="D403" s="163">
        <v>0</v>
      </c>
      <c r="E403" s="163">
        <v>0</v>
      </c>
      <c r="F403" s="163"/>
      <c r="G403" s="163"/>
      <c r="H403" s="163">
        <v>0</v>
      </c>
      <c r="I403" s="163">
        <v>0</v>
      </c>
      <c r="J403" s="68"/>
      <c r="K403" s="154"/>
      <c r="L403" s="292"/>
    </row>
    <row r="404" spans="1:12" s="15" customFormat="1" ht="17.25" customHeight="1">
      <c r="A404" s="216" t="s">
        <v>324</v>
      </c>
      <c r="B404" s="215" t="s">
        <v>321</v>
      </c>
      <c r="C404" s="160">
        <v>2017</v>
      </c>
      <c r="D404" s="163">
        <v>0</v>
      </c>
      <c r="E404" s="163">
        <v>0</v>
      </c>
      <c r="F404" s="163"/>
      <c r="G404" s="163"/>
      <c r="H404" s="163">
        <v>0</v>
      </c>
      <c r="I404" s="163">
        <v>0</v>
      </c>
      <c r="J404" s="68"/>
      <c r="K404" s="154"/>
      <c r="L404" s="292"/>
    </row>
    <row r="405" spans="1:12" s="15" customFormat="1" ht="17.25" customHeight="1">
      <c r="A405" s="216"/>
      <c r="B405" s="215"/>
      <c r="C405" s="160">
        <v>2018</v>
      </c>
      <c r="D405" s="163">
        <v>0</v>
      </c>
      <c r="E405" s="163">
        <v>0</v>
      </c>
      <c r="F405" s="163"/>
      <c r="G405" s="163"/>
      <c r="H405" s="163">
        <v>0</v>
      </c>
      <c r="I405" s="163">
        <v>0</v>
      </c>
      <c r="J405" s="68"/>
      <c r="K405" s="154"/>
      <c r="L405" s="292"/>
    </row>
    <row r="406" spans="1:12" s="15" customFormat="1" ht="17.25" customHeight="1">
      <c r="A406" s="216"/>
      <c r="B406" s="215"/>
      <c r="C406" s="160">
        <v>2019</v>
      </c>
      <c r="D406" s="163">
        <f>I406</f>
        <v>69.845</v>
      </c>
      <c r="E406" s="163"/>
      <c r="F406" s="163"/>
      <c r="G406" s="163"/>
      <c r="H406" s="163"/>
      <c r="I406" s="163">
        <v>69.845</v>
      </c>
      <c r="J406" s="68"/>
      <c r="K406" s="154" t="s">
        <v>56</v>
      </c>
      <c r="L406" s="292"/>
    </row>
    <row r="407" spans="1:12" s="15" customFormat="1" ht="17.25" customHeight="1">
      <c r="A407" s="216"/>
      <c r="B407" s="215"/>
      <c r="C407" s="160">
        <v>2020</v>
      </c>
      <c r="D407" s="163">
        <v>0</v>
      </c>
      <c r="E407" s="163">
        <v>0</v>
      </c>
      <c r="F407" s="163"/>
      <c r="G407" s="163"/>
      <c r="H407" s="163">
        <v>0</v>
      </c>
      <c r="I407" s="163">
        <v>0</v>
      </c>
      <c r="J407" s="68"/>
      <c r="K407" s="154"/>
      <c r="L407" s="292"/>
    </row>
    <row r="408" spans="1:12" s="15" customFormat="1" ht="17.25" customHeight="1">
      <c r="A408" s="216"/>
      <c r="B408" s="215"/>
      <c r="C408" s="160">
        <v>2021</v>
      </c>
      <c r="D408" s="163">
        <v>0</v>
      </c>
      <c r="E408" s="163">
        <v>0</v>
      </c>
      <c r="F408" s="163"/>
      <c r="G408" s="163"/>
      <c r="H408" s="163">
        <v>0</v>
      </c>
      <c r="I408" s="163">
        <v>0</v>
      </c>
      <c r="J408" s="68"/>
      <c r="K408" s="154"/>
      <c r="L408" s="292"/>
    </row>
    <row r="409" spans="1:12" s="15" customFormat="1" ht="17.25" customHeight="1">
      <c r="A409" s="216"/>
      <c r="B409" s="215"/>
      <c r="C409" s="160">
        <v>2022</v>
      </c>
      <c r="D409" s="163">
        <v>0</v>
      </c>
      <c r="E409" s="163">
        <v>0</v>
      </c>
      <c r="F409" s="163"/>
      <c r="G409" s="163"/>
      <c r="H409" s="163">
        <v>0</v>
      </c>
      <c r="I409" s="163">
        <v>0</v>
      </c>
      <c r="J409" s="68"/>
      <c r="K409" s="154"/>
      <c r="L409" s="292"/>
    </row>
    <row r="410" spans="1:12" s="15" customFormat="1" ht="17.25" customHeight="1">
      <c r="A410" s="216" t="s">
        <v>325</v>
      </c>
      <c r="B410" s="215" t="s">
        <v>322</v>
      </c>
      <c r="C410" s="160">
        <v>2017</v>
      </c>
      <c r="D410" s="163">
        <v>0</v>
      </c>
      <c r="E410" s="163">
        <v>0</v>
      </c>
      <c r="F410" s="163"/>
      <c r="G410" s="163"/>
      <c r="H410" s="163">
        <v>0</v>
      </c>
      <c r="I410" s="163">
        <v>0</v>
      </c>
      <c r="J410" s="68"/>
      <c r="K410" s="154"/>
      <c r="L410" s="292"/>
    </row>
    <row r="411" spans="1:12" s="15" customFormat="1" ht="17.25" customHeight="1">
      <c r="A411" s="216"/>
      <c r="B411" s="215"/>
      <c r="C411" s="160">
        <v>2018</v>
      </c>
      <c r="D411" s="163">
        <v>0</v>
      </c>
      <c r="E411" s="163">
        <v>0</v>
      </c>
      <c r="F411" s="163"/>
      <c r="G411" s="163"/>
      <c r="H411" s="163">
        <v>0</v>
      </c>
      <c r="I411" s="163">
        <v>0</v>
      </c>
      <c r="J411" s="68"/>
      <c r="K411" s="154"/>
      <c r="L411" s="292"/>
    </row>
    <row r="412" spans="1:12" s="15" customFormat="1" ht="17.25" customHeight="1">
      <c r="A412" s="216"/>
      <c r="B412" s="215"/>
      <c r="C412" s="160">
        <v>2019</v>
      </c>
      <c r="D412" s="163">
        <f>I412</f>
        <v>549.981</v>
      </c>
      <c r="E412" s="163"/>
      <c r="F412" s="163"/>
      <c r="G412" s="163"/>
      <c r="H412" s="163"/>
      <c r="I412" s="163">
        <v>549.981</v>
      </c>
      <c r="J412" s="68"/>
      <c r="K412" s="154" t="s">
        <v>153</v>
      </c>
      <c r="L412" s="292"/>
    </row>
    <row r="413" spans="1:12" s="15" customFormat="1" ht="17.25" customHeight="1">
      <c r="A413" s="216"/>
      <c r="B413" s="215"/>
      <c r="C413" s="160">
        <v>2020</v>
      </c>
      <c r="D413" s="163">
        <v>0</v>
      </c>
      <c r="E413" s="163">
        <v>0</v>
      </c>
      <c r="F413" s="163"/>
      <c r="G413" s="163"/>
      <c r="H413" s="163">
        <v>0</v>
      </c>
      <c r="I413" s="163">
        <v>0</v>
      </c>
      <c r="J413" s="68"/>
      <c r="K413" s="154"/>
      <c r="L413" s="292"/>
    </row>
    <row r="414" spans="1:12" s="15" customFormat="1" ht="17.25" customHeight="1">
      <c r="A414" s="216"/>
      <c r="B414" s="215"/>
      <c r="C414" s="160">
        <v>2021</v>
      </c>
      <c r="D414" s="163">
        <v>0</v>
      </c>
      <c r="E414" s="163">
        <v>0</v>
      </c>
      <c r="F414" s="163"/>
      <c r="G414" s="163"/>
      <c r="H414" s="163">
        <v>0</v>
      </c>
      <c r="I414" s="163">
        <v>0</v>
      </c>
      <c r="J414" s="68"/>
      <c r="K414" s="154"/>
      <c r="L414" s="292"/>
    </row>
    <row r="415" spans="1:12" s="15" customFormat="1" ht="17.25" customHeight="1">
      <c r="A415" s="216"/>
      <c r="B415" s="215"/>
      <c r="C415" s="160">
        <v>2022</v>
      </c>
      <c r="D415" s="163">
        <v>0</v>
      </c>
      <c r="E415" s="163">
        <v>0</v>
      </c>
      <c r="F415" s="163"/>
      <c r="G415" s="163"/>
      <c r="H415" s="163">
        <v>0</v>
      </c>
      <c r="I415" s="163">
        <v>0</v>
      </c>
      <c r="J415" s="68"/>
      <c r="K415" s="154"/>
      <c r="L415" s="292"/>
    </row>
    <row r="416" spans="1:12" s="15" customFormat="1" ht="17.25" customHeight="1" hidden="1">
      <c r="A416" s="216" t="s">
        <v>327</v>
      </c>
      <c r="B416" s="215"/>
      <c r="C416" s="160">
        <v>2017</v>
      </c>
      <c r="D416" s="163">
        <v>0</v>
      </c>
      <c r="E416" s="163">
        <v>0</v>
      </c>
      <c r="F416" s="163"/>
      <c r="G416" s="163"/>
      <c r="H416" s="163">
        <v>0</v>
      </c>
      <c r="I416" s="163">
        <v>0</v>
      </c>
      <c r="J416" s="68"/>
      <c r="K416" s="154"/>
      <c r="L416" s="292"/>
    </row>
    <row r="417" spans="1:12" s="15" customFormat="1" ht="17.25" customHeight="1" hidden="1">
      <c r="A417" s="216"/>
      <c r="B417" s="215"/>
      <c r="C417" s="160">
        <v>2018</v>
      </c>
      <c r="D417" s="163">
        <v>0</v>
      </c>
      <c r="E417" s="163">
        <v>0</v>
      </c>
      <c r="F417" s="163"/>
      <c r="G417" s="163"/>
      <c r="H417" s="163">
        <v>0</v>
      </c>
      <c r="I417" s="163">
        <v>0</v>
      </c>
      <c r="J417" s="68"/>
      <c r="K417" s="154"/>
      <c r="L417" s="292"/>
    </row>
    <row r="418" spans="1:12" s="15" customFormat="1" ht="17.25" customHeight="1" hidden="1">
      <c r="A418" s="216"/>
      <c r="B418" s="215"/>
      <c r="C418" s="160">
        <v>2019</v>
      </c>
      <c r="D418" s="163">
        <f>I418</f>
        <v>0</v>
      </c>
      <c r="E418" s="163"/>
      <c r="F418" s="163"/>
      <c r="G418" s="163"/>
      <c r="H418" s="163"/>
      <c r="I418" s="163">
        <v>0</v>
      </c>
      <c r="J418" s="68"/>
      <c r="K418" s="154"/>
      <c r="L418" s="292"/>
    </row>
    <row r="419" spans="1:12" s="15" customFormat="1" ht="17.25" customHeight="1" hidden="1">
      <c r="A419" s="216"/>
      <c r="B419" s="215"/>
      <c r="C419" s="160">
        <v>2020</v>
      </c>
      <c r="D419" s="163">
        <f>I419</f>
        <v>0</v>
      </c>
      <c r="E419" s="163">
        <v>0</v>
      </c>
      <c r="F419" s="163"/>
      <c r="G419" s="163"/>
      <c r="H419" s="163">
        <v>0</v>
      </c>
      <c r="I419" s="163">
        <v>0</v>
      </c>
      <c r="J419" s="68"/>
      <c r="K419" s="154" t="s">
        <v>244</v>
      </c>
      <c r="L419" s="292"/>
    </row>
    <row r="420" spans="1:12" s="15" customFormat="1" ht="17.25" customHeight="1" hidden="1">
      <c r="A420" s="216"/>
      <c r="B420" s="215"/>
      <c r="C420" s="160">
        <v>2021</v>
      </c>
      <c r="D420" s="163">
        <v>0</v>
      </c>
      <c r="E420" s="163">
        <v>0</v>
      </c>
      <c r="F420" s="163"/>
      <c r="G420" s="163"/>
      <c r="H420" s="163">
        <v>0</v>
      </c>
      <c r="I420" s="163">
        <v>0</v>
      </c>
      <c r="J420" s="68"/>
      <c r="K420" s="154"/>
      <c r="L420" s="292"/>
    </row>
    <row r="421" spans="1:12" s="15" customFormat="1" ht="17.25" customHeight="1" hidden="1">
      <c r="A421" s="216"/>
      <c r="B421" s="215"/>
      <c r="C421" s="160">
        <v>2022</v>
      </c>
      <c r="D421" s="163">
        <v>0</v>
      </c>
      <c r="E421" s="163">
        <v>0</v>
      </c>
      <c r="F421" s="163"/>
      <c r="G421" s="163"/>
      <c r="H421" s="163">
        <v>0</v>
      </c>
      <c r="I421" s="163">
        <v>0</v>
      </c>
      <c r="J421" s="68"/>
      <c r="K421" s="154"/>
      <c r="L421" s="292"/>
    </row>
    <row r="422" spans="1:12" s="15" customFormat="1" ht="17.25" customHeight="1">
      <c r="A422" s="217" t="s">
        <v>168</v>
      </c>
      <c r="B422" s="218"/>
      <c r="C422" s="94">
        <v>2017</v>
      </c>
      <c r="D422" s="125">
        <f>I422</f>
        <v>3287.0615500000004</v>
      </c>
      <c r="E422" s="125">
        <v>0</v>
      </c>
      <c r="F422" s="125">
        <v>0</v>
      </c>
      <c r="G422" s="125">
        <v>0</v>
      </c>
      <c r="H422" s="125">
        <v>0</v>
      </c>
      <c r="I422" s="125">
        <f>I159+I153+I152+I146+I140+I134+I133</f>
        <v>3287.0615500000004</v>
      </c>
      <c r="J422" s="68"/>
      <c r="K422" s="165"/>
      <c r="L422" s="292"/>
    </row>
    <row r="423" spans="1:12" s="15" customFormat="1" ht="18" customHeight="1">
      <c r="A423" s="219"/>
      <c r="B423" s="220"/>
      <c r="C423" s="95">
        <v>2018</v>
      </c>
      <c r="D423" s="145">
        <f>E423+H423+I423</f>
        <v>6571.8936699999995</v>
      </c>
      <c r="E423" s="145">
        <f>E61+E69+E79+E85+E90+E91+E92+E130+E166+E174+E178+E184+E190+E124</f>
        <v>0</v>
      </c>
      <c r="F423" s="145">
        <v>0</v>
      </c>
      <c r="G423" s="145">
        <v>0</v>
      </c>
      <c r="H423" s="145">
        <f>H61+H69+H79+H85+H90+H91+H92+H130+H166+H174+H178+H184+H190+H124</f>
        <v>0</v>
      </c>
      <c r="I423" s="145">
        <f>I166+I172+I178+I184+I190+I167+I196+I197+I199+I200+I198+I206+I213+I219+I225+I231+I237+I243++I249+I212+I255</f>
        <v>6571.8936699999995</v>
      </c>
      <c r="J423" s="74"/>
      <c r="K423" s="75"/>
      <c r="L423" s="292"/>
    </row>
    <row r="424" spans="1:12" s="15" customFormat="1" ht="14.25">
      <c r="A424" s="219"/>
      <c r="B424" s="220"/>
      <c r="C424" s="95">
        <v>2019</v>
      </c>
      <c r="D424" s="145">
        <f>E424+H424+I424</f>
        <v>12119.862239999999</v>
      </c>
      <c r="E424" s="145">
        <f>E67+E73+E80+E86+E93+E125+E131+E168+E172+E179+E185+E191</f>
        <v>0</v>
      </c>
      <c r="F424" s="145">
        <v>0</v>
      </c>
      <c r="G424" s="145">
        <v>0</v>
      </c>
      <c r="H424" s="145">
        <v>0</v>
      </c>
      <c r="I424" s="145">
        <f>I280+I274+I268+I262+I179+I286+I292+I298+I304+I310+I316+I185+I334+I328+I322+I382+I376+I358+I352+I346+I340+I364+I370+I388+I394+I400+I406+I412</f>
        <v>12119.862239999999</v>
      </c>
      <c r="J424" s="74"/>
      <c r="K424" s="75"/>
      <c r="L424" s="292"/>
    </row>
    <row r="425" spans="1:12" s="15" customFormat="1" ht="14.25">
      <c r="A425" s="219"/>
      <c r="B425" s="220"/>
      <c r="C425" s="95">
        <v>2020</v>
      </c>
      <c r="D425" s="145">
        <f>E425+H425+I425</f>
        <v>2036.867</v>
      </c>
      <c r="E425" s="145">
        <f>E68+E74+E81+E87+E108+E129+E137+E173+E180+E186+E192</f>
        <v>0</v>
      </c>
      <c r="F425" s="145">
        <v>0</v>
      </c>
      <c r="G425" s="145">
        <v>0</v>
      </c>
      <c r="H425" s="145">
        <f>H68+H74+H81+H87+H108+H129+H137+H173+H180+H186+H192</f>
        <v>0</v>
      </c>
      <c r="I425" s="125">
        <f>I174+I180+I186+I192+I335+I419</f>
        <v>2036.867</v>
      </c>
      <c r="J425" s="74"/>
      <c r="K425" s="75"/>
      <c r="L425" s="292"/>
    </row>
    <row r="426" spans="1:12" s="15" customFormat="1" ht="14.25">
      <c r="A426" s="219"/>
      <c r="B426" s="220"/>
      <c r="C426" s="95">
        <v>2021</v>
      </c>
      <c r="D426" s="145">
        <v>0</v>
      </c>
      <c r="E426" s="145">
        <v>0</v>
      </c>
      <c r="F426" s="145">
        <v>0</v>
      </c>
      <c r="G426" s="145">
        <v>0</v>
      </c>
      <c r="H426" s="145">
        <v>0</v>
      </c>
      <c r="I426" s="145">
        <v>0</v>
      </c>
      <c r="J426" s="74"/>
      <c r="K426" s="75"/>
      <c r="L426" s="293"/>
    </row>
    <row r="427" spans="1:12" s="15" customFormat="1" ht="14.25">
      <c r="A427" s="221"/>
      <c r="B427" s="222"/>
      <c r="C427" s="95">
        <v>2022</v>
      </c>
      <c r="D427" s="145">
        <v>0</v>
      </c>
      <c r="E427" s="145"/>
      <c r="F427" s="145"/>
      <c r="G427" s="145"/>
      <c r="H427" s="145"/>
      <c r="I427" s="145">
        <v>0</v>
      </c>
      <c r="J427" s="74"/>
      <c r="K427" s="75"/>
      <c r="L427" s="76"/>
    </row>
    <row r="428" spans="1:12" ht="14.25" customHeight="1">
      <c r="A428" s="78"/>
      <c r="B428" s="251" t="s">
        <v>192</v>
      </c>
      <c r="C428" s="252"/>
      <c r="D428" s="252"/>
      <c r="E428" s="252"/>
      <c r="F428" s="252"/>
      <c r="G428" s="252"/>
      <c r="H428" s="252"/>
      <c r="I428" s="252"/>
      <c r="J428" s="252"/>
      <c r="K428" s="252"/>
      <c r="L428" s="253"/>
    </row>
    <row r="429" spans="1:12" ht="14.25" customHeight="1">
      <c r="A429" s="127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</row>
    <row r="430" spans="1:13" ht="13.5" customHeight="1">
      <c r="A430" s="123" t="s">
        <v>150</v>
      </c>
      <c r="B430" s="288" t="s">
        <v>39</v>
      </c>
      <c r="C430" s="289"/>
      <c r="D430" s="289"/>
      <c r="E430" s="289"/>
      <c r="F430" s="289"/>
      <c r="G430" s="289"/>
      <c r="H430" s="289"/>
      <c r="I430" s="289"/>
      <c r="J430" s="289"/>
      <c r="K430" s="289"/>
      <c r="L430" s="290"/>
      <c r="M430" t="s">
        <v>39</v>
      </c>
    </row>
    <row r="431" spans="1:12" ht="15" customHeight="1">
      <c r="A431" s="211" t="s">
        <v>63</v>
      </c>
      <c r="B431" s="211" t="s">
        <v>54</v>
      </c>
      <c r="C431" s="97">
        <v>2017</v>
      </c>
      <c r="D431" s="143">
        <f>I431</f>
        <v>6500.04975</v>
      </c>
      <c r="E431" s="143">
        <v>0</v>
      </c>
      <c r="F431" s="143"/>
      <c r="G431" s="143"/>
      <c r="H431" s="143">
        <v>0</v>
      </c>
      <c r="I431" s="143">
        <v>6500.04975</v>
      </c>
      <c r="J431" s="78"/>
      <c r="K431" s="223" t="s">
        <v>146</v>
      </c>
      <c r="L431" s="78"/>
    </row>
    <row r="432" spans="1:12" ht="25.5" customHeight="1">
      <c r="A432" s="211"/>
      <c r="B432" s="211"/>
      <c r="C432" s="96">
        <v>2018</v>
      </c>
      <c r="D432" s="143">
        <f>I432</f>
        <v>8299.13376</v>
      </c>
      <c r="E432" s="143">
        <v>0</v>
      </c>
      <c r="F432" s="143"/>
      <c r="G432" s="143"/>
      <c r="H432" s="143">
        <v>0</v>
      </c>
      <c r="I432" s="143">
        <f>6137.149+0.73226+1830.1275+327.1+0.025+4</f>
        <v>8299.13376</v>
      </c>
      <c r="J432" s="74"/>
      <c r="K432" s="224"/>
      <c r="L432" s="78"/>
    </row>
    <row r="433" spans="1:12" ht="18.75" customHeight="1">
      <c r="A433" s="211"/>
      <c r="B433" s="211"/>
      <c r="C433" s="96">
        <v>2019</v>
      </c>
      <c r="D433" s="143">
        <f>E433+H433+I433</f>
        <v>11105.41822</v>
      </c>
      <c r="E433" s="143">
        <v>0</v>
      </c>
      <c r="F433" s="143"/>
      <c r="G433" s="143"/>
      <c r="H433" s="143">
        <v>0</v>
      </c>
      <c r="I433" s="143">
        <f>341.2+2464.84669+0.93166+8298.446-0.00613</f>
        <v>11105.41822</v>
      </c>
      <c r="J433" s="74"/>
      <c r="K433" s="224"/>
      <c r="L433" s="78"/>
    </row>
    <row r="434" spans="1:12" ht="14.25">
      <c r="A434" s="211"/>
      <c r="B434" s="211"/>
      <c r="C434" s="96">
        <v>2020</v>
      </c>
      <c r="D434" s="143">
        <f>E434+H434+I434</f>
        <v>11436.096000000001</v>
      </c>
      <c r="E434" s="143">
        <v>0</v>
      </c>
      <c r="F434" s="143"/>
      <c r="G434" s="143"/>
      <c r="H434" s="143">
        <v>0</v>
      </c>
      <c r="I434" s="143">
        <f>8565.665+2586.831+283.6</f>
        <v>11436.096000000001</v>
      </c>
      <c r="J434" s="74"/>
      <c r="K434" s="224"/>
      <c r="L434" s="78"/>
    </row>
    <row r="435" spans="1:12" ht="14.25">
      <c r="A435" s="211"/>
      <c r="B435" s="211"/>
      <c r="C435" s="96">
        <v>2021</v>
      </c>
      <c r="D435" s="143">
        <f>I435</f>
        <v>10812.247</v>
      </c>
      <c r="E435" s="143">
        <v>0</v>
      </c>
      <c r="F435" s="143"/>
      <c r="G435" s="143"/>
      <c r="H435" s="143"/>
      <c r="I435" s="143">
        <f>123+2479.38+8209.867</f>
        <v>10812.247</v>
      </c>
      <c r="J435" s="74"/>
      <c r="K435" s="225"/>
      <c r="L435" s="78"/>
    </row>
    <row r="436" spans="1:12" ht="14.25">
      <c r="A436" s="211"/>
      <c r="B436" s="211"/>
      <c r="C436" s="96">
        <v>2022</v>
      </c>
      <c r="D436" s="143">
        <f>I436</f>
        <v>10812.247</v>
      </c>
      <c r="E436" s="143"/>
      <c r="F436" s="143"/>
      <c r="G436" s="143"/>
      <c r="H436" s="143"/>
      <c r="I436" s="143">
        <f>8209.867+2479.38+123</f>
        <v>10812.247</v>
      </c>
      <c r="J436" s="74"/>
      <c r="K436" s="143"/>
      <c r="L436" s="78"/>
    </row>
    <row r="437" spans="1:12" ht="14.25">
      <c r="A437" s="211" t="s">
        <v>127</v>
      </c>
      <c r="B437" s="212" t="s">
        <v>326</v>
      </c>
      <c r="C437" s="96">
        <v>2017</v>
      </c>
      <c r="D437" s="163">
        <v>0</v>
      </c>
      <c r="E437" s="163">
        <v>0</v>
      </c>
      <c r="F437" s="163"/>
      <c r="G437" s="163"/>
      <c r="H437" s="163">
        <v>0</v>
      </c>
      <c r="I437" s="163">
        <v>0</v>
      </c>
      <c r="J437" s="74"/>
      <c r="K437" s="143"/>
      <c r="L437" s="78"/>
    </row>
    <row r="438" spans="1:12" ht="14.25">
      <c r="A438" s="211"/>
      <c r="B438" s="213"/>
      <c r="C438" s="96">
        <v>2018</v>
      </c>
      <c r="D438" s="163">
        <v>0</v>
      </c>
      <c r="E438" s="163">
        <v>0</v>
      </c>
      <c r="F438" s="163"/>
      <c r="G438" s="163"/>
      <c r="H438" s="163">
        <v>0</v>
      </c>
      <c r="I438" s="163">
        <v>0</v>
      </c>
      <c r="J438" s="74"/>
      <c r="K438" s="143"/>
      <c r="L438" s="78"/>
    </row>
    <row r="439" spans="1:12" ht="14.25">
      <c r="A439" s="211"/>
      <c r="B439" s="213"/>
      <c r="C439" s="96">
        <v>2019</v>
      </c>
      <c r="D439" s="163">
        <v>0</v>
      </c>
      <c r="E439" s="163">
        <v>0</v>
      </c>
      <c r="F439" s="163"/>
      <c r="G439" s="163"/>
      <c r="H439" s="163">
        <v>0</v>
      </c>
      <c r="I439" s="163">
        <v>0</v>
      </c>
      <c r="J439" s="74"/>
      <c r="K439" s="143"/>
      <c r="L439" s="78"/>
    </row>
    <row r="440" spans="1:12" ht="14.25">
      <c r="A440" s="211"/>
      <c r="B440" s="213"/>
      <c r="C440" s="96">
        <v>2020</v>
      </c>
      <c r="D440" s="163">
        <v>0</v>
      </c>
      <c r="E440" s="163">
        <v>0</v>
      </c>
      <c r="F440" s="163"/>
      <c r="G440" s="163"/>
      <c r="H440" s="163">
        <v>0</v>
      </c>
      <c r="I440" s="163">
        <v>0</v>
      </c>
      <c r="J440" s="74"/>
      <c r="K440" s="143"/>
      <c r="L440" s="78"/>
    </row>
    <row r="441" spans="1:12" ht="14.25">
      <c r="A441" s="211"/>
      <c r="B441" s="213"/>
      <c r="C441" s="96">
        <v>2021</v>
      </c>
      <c r="D441" s="163">
        <v>0</v>
      </c>
      <c r="E441" s="163">
        <v>0</v>
      </c>
      <c r="F441" s="163"/>
      <c r="G441" s="163"/>
      <c r="H441" s="163">
        <v>0</v>
      </c>
      <c r="I441" s="163">
        <v>0</v>
      </c>
      <c r="J441" s="74"/>
      <c r="K441" s="143"/>
      <c r="L441" s="78"/>
    </row>
    <row r="442" spans="1:12" ht="14.25">
      <c r="A442" s="211"/>
      <c r="B442" s="214"/>
      <c r="C442" s="96">
        <v>2022</v>
      </c>
      <c r="D442" s="163">
        <f>H442+G442</f>
        <v>2500</v>
      </c>
      <c r="E442" s="163">
        <v>0</v>
      </c>
      <c r="F442" s="163"/>
      <c r="G442" s="163">
        <v>2500</v>
      </c>
      <c r="H442" s="163">
        <v>0</v>
      </c>
      <c r="I442" s="163">
        <v>0</v>
      </c>
      <c r="J442" s="74"/>
      <c r="K442" s="143"/>
      <c r="L442" s="78"/>
    </row>
    <row r="443" spans="1:12" ht="14.25" customHeight="1">
      <c r="A443" s="263" t="s">
        <v>168</v>
      </c>
      <c r="B443" s="264"/>
      <c r="C443" s="95">
        <v>2017</v>
      </c>
      <c r="D443" s="145">
        <f>I443</f>
        <v>6500.04975</v>
      </c>
      <c r="E443" s="145">
        <v>0</v>
      </c>
      <c r="F443" s="145"/>
      <c r="G443" s="145"/>
      <c r="H443" s="145">
        <v>0</v>
      </c>
      <c r="I443" s="145">
        <f aca="true" t="shared" si="5" ref="I443:I448">I431</f>
        <v>6500.04975</v>
      </c>
      <c r="J443" s="74"/>
      <c r="K443" s="143"/>
      <c r="L443" s="78"/>
    </row>
    <row r="444" spans="1:12" ht="14.25">
      <c r="A444" s="265"/>
      <c r="B444" s="266"/>
      <c r="C444" s="95">
        <v>2018</v>
      </c>
      <c r="D444" s="145">
        <f>E444+H444+I444</f>
        <v>8299.13376</v>
      </c>
      <c r="E444" s="145">
        <f>E85+E90+E95+E108+E124+E125+E166+E168+E172+E178+E180+E186+E192+E423+E424+E428+E432</f>
        <v>0</v>
      </c>
      <c r="F444" s="145"/>
      <c r="G444" s="145"/>
      <c r="H444" s="145">
        <f>H85+H90+H95+H108+H124+H125+H166+H168+H172+H178+H180+H186+H192+H423+H424+H428+H432</f>
        <v>0</v>
      </c>
      <c r="I444" s="145">
        <f t="shared" si="5"/>
        <v>8299.13376</v>
      </c>
      <c r="J444" s="74"/>
      <c r="K444" s="75"/>
      <c r="L444" s="78"/>
    </row>
    <row r="445" spans="1:12" ht="14.25">
      <c r="A445" s="265"/>
      <c r="B445" s="266"/>
      <c r="C445" s="95">
        <v>2019</v>
      </c>
      <c r="D445" s="145">
        <f>E445+H445+I445</f>
        <v>11105.41822</v>
      </c>
      <c r="E445" s="145">
        <f>E86+E91+E99+E126+E173+E184+E190+E425+E429+E433</f>
        <v>0</v>
      </c>
      <c r="F445" s="145"/>
      <c r="G445" s="145"/>
      <c r="H445" s="145">
        <f>H86+H91+H99+H126+H173+H184+H190+H425+H429+H433</f>
        <v>0</v>
      </c>
      <c r="I445" s="145">
        <f t="shared" si="5"/>
        <v>11105.41822</v>
      </c>
      <c r="J445" s="74"/>
      <c r="K445" s="75"/>
      <c r="L445" s="76"/>
    </row>
    <row r="446" spans="1:12" ht="14.25">
      <c r="A446" s="265"/>
      <c r="B446" s="266"/>
      <c r="C446" s="95">
        <v>2020</v>
      </c>
      <c r="D446" s="145">
        <f>E446+H446+I446</f>
        <v>11436.096000000001</v>
      </c>
      <c r="E446" s="145">
        <f>E87+E92+E100+E137+E174+E179+E185+E191+E426+E430+E434</f>
        <v>0</v>
      </c>
      <c r="F446" s="145"/>
      <c r="G446" s="145"/>
      <c r="H446" s="145">
        <f>H87+H92+H100+H137+H174+H179+H185+H191+H426+H430+H434</f>
        <v>0</v>
      </c>
      <c r="I446" s="145">
        <f t="shared" si="5"/>
        <v>11436.096000000001</v>
      </c>
      <c r="J446" s="74"/>
      <c r="K446" s="75"/>
      <c r="L446" s="76"/>
    </row>
    <row r="447" spans="1:12" ht="14.25">
      <c r="A447" s="265"/>
      <c r="B447" s="266"/>
      <c r="C447" s="98">
        <v>2021</v>
      </c>
      <c r="D447" s="127">
        <f>I447</f>
        <v>10812.247</v>
      </c>
      <c r="E447" s="127">
        <v>0</v>
      </c>
      <c r="F447" s="127"/>
      <c r="G447" s="127"/>
      <c r="H447" s="127">
        <v>0</v>
      </c>
      <c r="I447" s="127">
        <f t="shared" si="5"/>
        <v>10812.247</v>
      </c>
      <c r="J447" s="127"/>
      <c r="K447" s="127"/>
      <c r="L447" s="76"/>
    </row>
    <row r="448" spans="1:12" ht="14.25">
      <c r="A448" s="267"/>
      <c r="B448" s="268"/>
      <c r="C448" s="98">
        <v>2022</v>
      </c>
      <c r="D448" s="127">
        <f>I448+H448+G448</f>
        <v>13312.247</v>
      </c>
      <c r="E448" s="127"/>
      <c r="F448" s="127"/>
      <c r="G448" s="127">
        <f>G442</f>
        <v>2500</v>
      </c>
      <c r="H448" s="127">
        <f>H442</f>
        <v>0</v>
      </c>
      <c r="I448" s="127">
        <f t="shared" si="5"/>
        <v>10812.247</v>
      </c>
      <c r="J448" s="127"/>
      <c r="K448" s="127"/>
      <c r="L448" s="76"/>
    </row>
    <row r="449" spans="1:12" ht="13.5" customHeight="1">
      <c r="A449" s="248" t="s">
        <v>97</v>
      </c>
      <c r="B449" s="249"/>
      <c r="C449" s="249"/>
      <c r="D449" s="249"/>
      <c r="E449" s="249"/>
      <c r="F449" s="249"/>
      <c r="G449" s="249"/>
      <c r="H449" s="249"/>
      <c r="I449" s="249"/>
      <c r="J449" s="249"/>
      <c r="K449" s="250"/>
      <c r="L449" s="127"/>
    </row>
    <row r="450" spans="1:12" ht="25.5" customHeight="1">
      <c r="A450" s="78" t="s">
        <v>193</v>
      </c>
      <c r="B450" s="251" t="s">
        <v>194</v>
      </c>
      <c r="C450" s="252"/>
      <c r="D450" s="252"/>
      <c r="E450" s="252"/>
      <c r="F450" s="252"/>
      <c r="G450" s="252"/>
      <c r="H450" s="252"/>
      <c r="I450" s="252"/>
      <c r="J450" s="252"/>
      <c r="K450" s="252"/>
      <c r="L450" s="253"/>
    </row>
    <row r="451" spans="1:12" ht="15.75" customHeight="1">
      <c r="A451" s="223" t="s">
        <v>64</v>
      </c>
      <c r="B451" s="223" t="s">
        <v>278</v>
      </c>
      <c r="C451" s="96">
        <v>2017</v>
      </c>
      <c r="D451" s="143">
        <f>H451+I451</f>
        <v>11181.419240000001</v>
      </c>
      <c r="E451" s="143">
        <v>0</v>
      </c>
      <c r="F451" s="143">
        <f aca="true" t="shared" si="6" ref="F451:F472">G451+H451</f>
        <v>2270.1</v>
      </c>
      <c r="G451" s="143"/>
      <c r="H451" s="163">
        <v>2270.1</v>
      </c>
      <c r="I451" s="163">
        <v>8911.31924</v>
      </c>
      <c r="J451" s="78">
        <v>0</v>
      </c>
      <c r="K451" s="229" t="s">
        <v>153</v>
      </c>
      <c r="L451" s="223" t="s">
        <v>305</v>
      </c>
    </row>
    <row r="452" spans="1:12" ht="15.75" customHeight="1">
      <c r="A452" s="224"/>
      <c r="B452" s="224"/>
      <c r="C452" s="96">
        <v>2018</v>
      </c>
      <c r="D452" s="143">
        <f>E452+H452+I452+J452</f>
        <v>12687.26973</v>
      </c>
      <c r="E452" s="143">
        <v>0</v>
      </c>
      <c r="F452" s="143">
        <f t="shared" si="6"/>
        <v>2741.4</v>
      </c>
      <c r="G452" s="143"/>
      <c r="H452" s="163">
        <f>2741.4</f>
        <v>2741.4</v>
      </c>
      <c r="I452" s="163">
        <f>6281.07244+2581.18215</f>
        <v>8862.25459</v>
      </c>
      <c r="J452" s="79">
        <v>1083.61514</v>
      </c>
      <c r="K452" s="230"/>
      <c r="L452" s="224"/>
    </row>
    <row r="453" spans="1:12" ht="20.25" customHeight="1">
      <c r="A453" s="224"/>
      <c r="B453" s="224"/>
      <c r="C453" s="97">
        <v>2019</v>
      </c>
      <c r="D453" s="77">
        <f>F453+I453+J453</f>
        <v>12327.13844</v>
      </c>
      <c r="E453" s="77">
        <v>0</v>
      </c>
      <c r="F453" s="77">
        <f t="shared" si="6"/>
        <v>3472.5</v>
      </c>
      <c r="G453" s="77"/>
      <c r="H453" s="144">
        <v>3472.5</v>
      </c>
      <c r="I453" s="144">
        <f>4657.67224+3147.28476</f>
        <v>7804.957</v>
      </c>
      <c r="J453" s="81">
        <v>1049.68144</v>
      </c>
      <c r="K453" s="230"/>
      <c r="L453" s="224"/>
    </row>
    <row r="454" spans="1:13" ht="20.25" customHeight="1">
      <c r="A454" s="224"/>
      <c r="B454" s="224"/>
      <c r="C454" s="96">
        <v>2020</v>
      </c>
      <c r="D454" s="143">
        <f>H454+I454+J454</f>
        <v>14094.305</v>
      </c>
      <c r="E454" s="143">
        <v>0</v>
      </c>
      <c r="F454" s="143">
        <f t="shared" si="6"/>
        <v>3616.709</v>
      </c>
      <c r="G454" s="143"/>
      <c r="H454" s="163">
        <v>3616.709</v>
      </c>
      <c r="I454" s="163">
        <f>6578.836+3098.76</f>
        <v>9677.596000000001</v>
      </c>
      <c r="J454" s="79">
        <v>800</v>
      </c>
      <c r="K454" s="230"/>
      <c r="L454" s="224"/>
      <c r="M454" t="s">
        <v>39</v>
      </c>
    </row>
    <row r="455" spans="1:12" ht="20.25" customHeight="1">
      <c r="A455" s="224"/>
      <c r="B455" s="224"/>
      <c r="C455" s="96">
        <v>2021</v>
      </c>
      <c r="D455" s="143">
        <f>I455+H455+J455</f>
        <v>13711.75</v>
      </c>
      <c r="E455" s="143">
        <v>0</v>
      </c>
      <c r="F455" s="143">
        <f>H455</f>
        <v>3616.709</v>
      </c>
      <c r="G455" s="143"/>
      <c r="H455" s="163">
        <v>3616.709</v>
      </c>
      <c r="I455" s="163">
        <f>6196.281+3098.76</f>
        <v>9295.041000000001</v>
      </c>
      <c r="J455" s="79">
        <f>J454</f>
        <v>800</v>
      </c>
      <c r="K455" s="230"/>
      <c r="L455" s="224"/>
    </row>
    <row r="456" spans="1:12" ht="20.25" customHeight="1">
      <c r="A456" s="225"/>
      <c r="B456" s="225"/>
      <c r="C456" s="96">
        <v>2022</v>
      </c>
      <c r="D456" s="143">
        <f>I456+H456+J456</f>
        <v>13690.07</v>
      </c>
      <c r="E456" s="143">
        <v>0</v>
      </c>
      <c r="F456" s="143">
        <f>H456</f>
        <v>3616.709</v>
      </c>
      <c r="G456" s="143"/>
      <c r="H456" s="163">
        <f>H455</f>
        <v>3616.709</v>
      </c>
      <c r="I456" s="163">
        <f>6174.601+3098.76</f>
        <v>9273.361</v>
      </c>
      <c r="J456" s="79">
        <f>J455</f>
        <v>800</v>
      </c>
      <c r="K456" s="231"/>
      <c r="L456" s="224"/>
    </row>
    <row r="457" spans="1:12" ht="20.25" customHeight="1">
      <c r="A457" s="223" t="s">
        <v>67</v>
      </c>
      <c r="B457" s="223" t="s">
        <v>279</v>
      </c>
      <c r="C457" s="96">
        <v>2017</v>
      </c>
      <c r="D457" s="143">
        <f>H457+I457+J457</f>
        <v>19392.76832</v>
      </c>
      <c r="E457" s="143">
        <v>0</v>
      </c>
      <c r="F457" s="143">
        <f t="shared" si="6"/>
        <v>176</v>
      </c>
      <c r="G457" s="143"/>
      <c r="H457" s="163">
        <v>176</v>
      </c>
      <c r="I457" s="163">
        <v>19216.76832</v>
      </c>
      <c r="J457" s="79">
        <v>0</v>
      </c>
      <c r="K457" s="229" t="s">
        <v>52</v>
      </c>
      <c r="L457" s="224"/>
    </row>
    <row r="458" spans="1:12" ht="20.25" customHeight="1">
      <c r="A458" s="224"/>
      <c r="B458" s="224"/>
      <c r="C458" s="96">
        <v>2018</v>
      </c>
      <c r="D458" s="143">
        <f>H458+I458+J458</f>
        <v>19564.29559</v>
      </c>
      <c r="E458" s="143">
        <v>0</v>
      </c>
      <c r="F458" s="143">
        <f t="shared" si="6"/>
        <v>377.618</v>
      </c>
      <c r="G458" s="143"/>
      <c r="H458" s="163">
        <f>377.618</f>
        <v>377.618</v>
      </c>
      <c r="I458" s="163">
        <f>15699.79296+1754.72854</f>
        <v>17454.521500000003</v>
      </c>
      <c r="J458" s="74">
        <v>1732.15609</v>
      </c>
      <c r="K458" s="230"/>
      <c r="L458" s="224"/>
    </row>
    <row r="459" spans="1:12" ht="20.25" customHeight="1">
      <c r="A459" s="224"/>
      <c r="B459" s="224"/>
      <c r="C459" s="96">
        <v>2019</v>
      </c>
      <c r="D459" s="143">
        <f>H459+I459+J459</f>
        <v>18612.268150000004</v>
      </c>
      <c r="E459" s="143">
        <v>0</v>
      </c>
      <c r="F459" s="143">
        <f t="shared" si="6"/>
        <v>427.364</v>
      </c>
      <c r="G459" s="143"/>
      <c r="H459" s="163">
        <v>427.364</v>
      </c>
      <c r="I459" s="163">
        <f>11854.18705+2523.8044+22.5+1607.853</f>
        <v>16008.34445</v>
      </c>
      <c r="J459" s="74">
        <f>1926.5597+250</f>
        <v>2176.5597</v>
      </c>
      <c r="K459" s="230"/>
      <c r="L459" s="224"/>
    </row>
    <row r="460" spans="1:12" ht="20.25" customHeight="1">
      <c r="A460" s="224"/>
      <c r="B460" s="224"/>
      <c r="C460" s="96">
        <v>2020</v>
      </c>
      <c r="D460" s="143">
        <f>H460+I460+J460</f>
        <v>19711.739999999998</v>
      </c>
      <c r="E460" s="143">
        <v>0</v>
      </c>
      <c r="F460" s="143">
        <f t="shared" si="6"/>
        <v>476</v>
      </c>
      <c r="G460" s="143"/>
      <c r="H460" s="163">
        <f>476</f>
        <v>476</v>
      </c>
      <c r="I460" s="163">
        <f>12985.506+2311.533+71.127+1707.574</f>
        <v>17075.739999999998</v>
      </c>
      <c r="J460" s="74">
        <f>2160</f>
        <v>2160</v>
      </c>
      <c r="K460" s="230"/>
      <c r="L460" s="224"/>
    </row>
    <row r="461" spans="1:12" ht="20.25" customHeight="1">
      <c r="A461" s="224"/>
      <c r="B461" s="224"/>
      <c r="C461" s="96">
        <v>2021</v>
      </c>
      <c r="D461" s="143">
        <f>F461+I461+J461</f>
        <v>18032.55</v>
      </c>
      <c r="E461" s="143">
        <v>0</v>
      </c>
      <c r="F461" s="143">
        <f>H461</f>
        <v>476</v>
      </c>
      <c r="G461" s="143"/>
      <c r="H461" s="163">
        <f>H460</f>
        <v>476</v>
      </c>
      <c r="I461" s="163">
        <f>1539.655+71.127+2311.533+11474.235</f>
        <v>15396.55</v>
      </c>
      <c r="J461" s="74">
        <f>J460</f>
        <v>2160</v>
      </c>
      <c r="K461" s="230"/>
      <c r="L461" s="224"/>
    </row>
    <row r="462" spans="1:12" ht="20.25" customHeight="1">
      <c r="A462" s="225"/>
      <c r="B462" s="225"/>
      <c r="C462" s="96">
        <v>2022</v>
      </c>
      <c r="D462" s="143">
        <f>F462+I462+J462</f>
        <v>17937.316</v>
      </c>
      <c r="E462" s="143">
        <v>0</v>
      </c>
      <c r="F462" s="143">
        <f>H462</f>
        <v>476</v>
      </c>
      <c r="G462" s="143"/>
      <c r="H462" s="163">
        <f>H461</f>
        <v>476</v>
      </c>
      <c r="I462" s="163">
        <f>11388.524+2311.533+71.127+1530.132</f>
        <v>15301.315999999999</v>
      </c>
      <c r="J462" s="74">
        <f>J461</f>
        <v>2160</v>
      </c>
      <c r="K462" s="231"/>
      <c r="L462" s="224"/>
    </row>
    <row r="463" spans="1:12" ht="20.25" customHeight="1">
      <c r="A463" s="223" t="s">
        <v>72</v>
      </c>
      <c r="B463" s="223" t="s">
        <v>280</v>
      </c>
      <c r="C463" s="96">
        <v>2017</v>
      </c>
      <c r="D463" s="143">
        <f>H463+I463</f>
        <v>7571.59784</v>
      </c>
      <c r="E463" s="143">
        <v>0</v>
      </c>
      <c r="F463" s="143">
        <f t="shared" si="6"/>
        <v>2218.895</v>
      </c>
      <c r="G463" s="143"/>
      <c r="H463" s="163">
        <v>2218.895</v>
      </c>
      <c r="I463" s="163">
        <v>5352.70284</v>
      </c>
      <c r="J463" s="74">
        <v>0</v>
      </c>
      <c r="K463" s="229" t="s">
        <v>55</v>
      </c>
      <c r="L463" s="224"/>
    </row>
    <row r="464" spans="1:12" ht="20.25" customHeight="1">
      <c r="A464" s="224"/>
      <c r="B464" s="224"/>
      <c r="C464" s="96">
        <v>2018</v>
      </c>
      <c r="D464" s="143">
        <f>E464+H464+I464+J464</f>
        <v>9132.78455</v>
      </c>
      <c r="E464" s="143">
        <v>0</v>
      </c>
      <c r="F464" s="143">
        <f t="shared" si="6"/>
        <v>2708.303</v>
      </c>
      <c r="G464" s="143"/>
      <c r="H464" s="163">
        <f>2708.303</f>
        <v>2708.303</v>
      </c>
      <c r="I464" s="163">
        <f>3875.09134+1687.55323</f>
        <v>5562.64457</v>
      </c>
      <c r="J464" s="74">
        <v>861.83698</v>
      </c>
      <c r="K464" s="230"/>
      <c r="L464" s="224"/>
    </row>
    <row r="465" spans="1:12" ht="20.25" customHeight="1">
      <c r="A465" s="224"/>
      <c r="B465" s="224"/>
      <c r="C465" s="96">
        <v>2019</v>
      </c>
      <c r="D465" s="143">
        <f>H465+I465+J465</f>
        <v>8303.90225</v>
      </c>
      <c r="E465" s="143">
        <v>0</v>
      </c>
      <c r="F465" s="143">
        <f t="shared" si="6"/>
        <v>2435.886</v>
      </c>
      <c r="G465" s="143"/>
      <c r="H465" s="163">
        <v>2435.886</v>
      </c>
      <c r="I465" s="163">
        <f>2523.363+2303.981+23.79343</f>
        <v>4851.13743</v>
      </c>
      <c r="J465" s="74">
        <f>866.87882+150</f>
        <v>1016.87882</v>
      </c>
      <c r="K465" s="230"/>
      <c r="L465" s="224"/>
    </row>
    <row r="466" spans="1:12" ht="20.25" customHeight="1">
      <c r="A466" s="224"/>
      <c r="B466" s="224"/>
      <c r="C466" s="96">
        <v>2020</v>
      </c>
      <c r="D466" s="143">
        <f>H466+I466+J466</f>
        <v>9531.300000000001</v>
      </c>
      <c r="E466" s="143">
        <v>0</v>
      </c>
      <c r="F466" s="143">
        <f t="shared" si="6"/>
        <v>2598.636</v>
      </c>
      <c r="G466" s="143"/>
      <c r="H466" s="163">
        <v>2598.636</v>
      </c>
      <c r="I466" s="163">
        <f>3607.222+2455.442</f>
        <v>6062.664000000001</v>
      </c>
      <c r="J466" s="74">
        <f>870</f>
        <v>870</v>
      </c>
      <c r="K466" s="230"/>
      <c r="L466" s="224"/>
    </row>
    <row r="467" spans="1:12" ht="20.25" customHeight="1">
      <c r="A467" s="224"/>
      <c r="B467" s="224"/>
      <c r="C467" s="96">
        <v>2021</v>
      </c>
      <c r="D467" s="143">
        <f>H467+I467+J467</f>
        <v>8674.33</v>
      </c>
      <c r="E467" s="143">
        <v>0</v>
      </c>
      <c r="F467" s="143">
        <f>H467</f>
        <v>2598.636</v>
      </c>
      <c r="G467" s="143"/>
      <c r="H467" s="163">
        <f>H466</f>
        <v>2598.636</v>
      </c>
      <c r="I467" s="163">
        <f>2750.252+2455.442</f>
        <v>5205.6939999999995</v>
      </c>
      <c r="J467" s="74">
        <f>J466</f>
        <v>870</v>
      </c>
      <c r="K467" s="230"/>
      <c r="L467" s="224"/>
    </row>
    <row r="468" spans="1:12" ht="20.25" customHeight="1">
      <c r="A468" s="225"/>
      <c r="B468" s="225"/>
      <c r="C468" s="96">
        <v>2022</v>
      </c>
      <c r="D468" s="143">
        <f>H468+I468+J468</f>
        <v>8638.93</v>
      </c>
      <c r="E468" s="143">
        <v>0</v>
      </c>
      <c r="F468" s="143">
        <f>H468</f>
        <v>2598.636</v>
      </c>
      <c r="G468" s="143"/>
      <c r="H468" s="163">
        <f>H467</f>
        <v>2598.636</v>
      </c>
      <c r="I468" s="163">
        <f>2714.852+2455.442</f>
        <v>5170.294</v>
      </c>
      <c r="J468" s="74">
        <f>J467</f>
        <v>870</v>
      </c>
      <c r="K468" s="231"/>
      <c r="L468" s="224"/>
    </row>
    <row r="469" spans="1:12" ht="20.25" customHeight="1">
      <c r="A469" s="223" t="s">
        <v>73</v>
      </c>
      <c r="B469" s="223" t="s">
        <v>281</v>
      </c>
      <c r="C469" s="96">
        <v>2017</v>
      </c>
      <c r="D469" s="143">
        <f>H469+I469+J469</f>
        <v>7311.10506</v>
      </c>
      <c r="E469" s="143">
        <v>0</v>
      </c>
      <c r="F469" s="143">
        <f t="shared" si="6"/>
        <v>1796.192</v>
      </c>
      <c r="G469" s="143"/>
      <c r="H469" s="163">
        <v>1796.192</v>
      </c>
      <c r="I469" s="163">
        <v>5514.91306</v>
      </c>
      <c r="J469" s="74">
        <v>0</v>
      </c>
      <c r="K469" s="229" t="s">
        <v>56</v>
      </c>
      <c r="L469" s="224"/>
    </row>
    <row r="470" spans="1:12" ht="20.25" customHeight="1">
      <c r="A470" s="224"/>
      <c r="B470" s="224"/>
      <c r="C470" s="96">
        <v>2018</v>
      </c>
      <c r="D470" s="143">
        <f>E470+H470+I470+J470</f>
        <v>7880.230140000001</v>
      </c>
      <c r="E470" s="143">
        <v>0</v>
      </c>
      <c r="F470" s="143">
        <f t="shared" si="6"/>
        <v>1605.97</v>
      </c>
      <c r="G470" s="143"/>
      <c r="H470" s="163">
        <v>1605.97</v>
      </c>
      <c r="I470" s="163">
        <f>3872.66396+1732.99351</f>
        <v>5605.65747</v>
      </c>
      <c r="J470" s="74">
        <v>668.60267</v>
      </c>
      <c r="K470" s="230"/>
      <c r="L470" s="224"/>
    </row>
    <row r="471" spans="1:12" ht="20.25" customHeight="1">
      <c r="A471" s="224"/>
      <c r="B471" s="224"/>
      <c r="C471" s="96">
        <v>2019</v>
      </c>
      <c r="D471" s="143">
        <f>F471+I471+J471</f>
        <v>9120.455909999999</v>
      </c>
      <c r="E471" s="143">
        <v>0</v>
      </c>
      <c r="F471" s="143">
        <f t="shared" si="6"/>
        <v>1474.984</v>
      </c>
      <c r="G471" s="143"/>
      <c r="H471" s="163">
        <v>1474.984</v>
      </c>
      <c r="I471" s="163">
        <f>1825.366+1830.649+132.158</f>
        <v>3788.173</v>
      </c>
      <c r="J471" s="74">
        <f>3707.29891+150</f>
        <v>3857.29891</v>
      </c>
      <c r="K471" s="230"/>
      <c r="L471" s="224"/>
    </row>
    <row r="472" spans="1:12" ht="20.25" customHeight="1">
      <c r="A472" s="224"/>
      <c r="B472" s="224"/>
      <c r="C472" s="96">
        <v>2020</v>
      </c>
      <c r="D472" s="143">
        <f>H472+I472+J472</f>
        <v>10762.516</v>
      </c>
      <c r="E472" s="143">
        <v>0</v>
      </c>
      <c r="F472" s="143">
        <f t="shared" si="6"/>
        <v>1474.984</v>
      </c>
      <c r="G472" s="143"/>
      <c r="H472" s="163">
        <f>1474.984</f>
        <v>1474.984</v>
      </c>
      <c r="I472" s="163">
        <f>3706.741+1896.171</f>
        <v>5602.912</v>
      </c>
      <c r="J472" s="74">
        <v>3684.62</v>
      </c>
      <c r="K472" s="230"/>
      <c r="L472" s="224"/>
    </row>
    <row r="473" spans="1:12" ht="20.25" customHeight="1">
      <c r="A473" s="224"/>
      <c r="B473" s="224"/>
      <c r="C473" s="96">
        <v>2021</v>
      </c>
      <c r="D473" s="143">
        <f>H473+I473+J473</f>
        <v>10341.155999999999</v>
      </c>
      <c r="E473" s="143">
        <v>0</v>
      </c>
      <c r="F473" s="143">
        <f>H473</f>
        <v>1474.984</v>
      </c>
      <c r="G473" s="143"/>
      <c r="H473" s="163">
        <f>H472</f>
        <v>1474.984</v>
      </c>
      <c r="I473" s="163">
        <f>3285.381+1896.171</f>
        <v>5181.552</v>
      </c>
      <c r="J473" s="74">
        <f>J472</f>
        <v>3684.62</v>
      </c>
      <c r="K473" s="230"/>
      <c r="L473" s="224"/>
    </row>
    <row r="474" spans="1:12" ht="20.25" customHeight="1">
      <c r="A474" s="225"/>
      <c r="B474" s="225"/>
      <c r="C474" s="96">
        <v>2022</v>
      </c>
      <c r="D474" s="143">
        <f>H474+I474+J474</f>
        <v>10318.190999999999</v>
      </c>
      <c r="E474" s="143">
        <v>0</v>
      </c>
      <c r="F474" s="143">
        <f>H474</f>
        <v>1474.984</v>
      </c>
      <c r="G474" s="143"/>
      <c r="H474" s="163">
        <f>H473</f>
        <v>1474.984</v>
      </c>
      <c r="I474" s="163">
        <f>3262.416+1896.171</f>
        <v>5158.587</v>
      </c>
      <c r="J474" s="74">
        <f>J473</f>
        <v>3684.62</v>
      </c>
      <c r="K474" s="231"/>
      <c r="L474" s="224"/>
    </row>
    <row r="475" spans="1:12" ht="15" customHeight="1">
      <c r="A475" s="223" t="s">
        <v>111</v>
      </c>
      <c r="B475" s="223" t="s">
        <v>282</v>
      </c>
      <c r="C475" s="96">
        <v>2017</v>
      </c>
      <c r="D475" s="143">
        <f>H475+I475</f>
        <v>1787.53995</v>
      </c>
      <c r="E475" s="143">
        <v>0</v>
      </c>
      <c r="F475" s="143"/>
      <c r="G475" s="143"/>
      <c r="H475" s="163">
        <v>0</v>
      </c>
      <c r="I475" s="163">
        <v>1787.53995</v>
      </c>
      <c r="J475" s="74">
        <v>0</v>
      </c>
      <c r="K475" s="229" t="s">
        <v>57</v>
      </c>
      <c r="L475" s="224"/>
    </row>
    <row r="476" spans="1:12" ht="14.25">
      <c r="A476" s="224"/>
      <c r="B476" s="224"/>
      <c r="C476" s="96">
        <v>2018</v>
      </c>
      <c r="D476" s="143">
        <f>E476+H476+I476+J476</f>
        <v>2010.1684899999998</v>
      </c>
      <c r="E476" s="143">
        <v>0</v>
      </c>
      <c r="F476" s="143"/>
      <c r="G476" s="143"/>
      <c r="H476" s="163">
        <v>0</v>
      </c>
      <c r="I476" s="163">
        <f>1396.513+40.091-0.01909</f>
        <v>1436.5849099999998</v>
      </c>
      <c r="J476" s="74">
        <v>573.58358</v>
      </c>
      <c r="K476" s="230"/>
      <c r="L476" s="224"/>
    </row>
    <row r="477" spans="1:12" ht="14.25">
      <c r="A477" s="224"/>
      <c r="B477" s="224"/>
      <c r="C477" s="96">
        <v>2019</v>
      </c>
      <c r="D477" s="143">
        <f>E477+I477+J477</f>
        <v>2727.52317</v>
      </c>
      <c r="E477" s="143">
        <v>0</v>
      </c>
      <c r="F477" s="143"/>
      <c r="G477" s="143"/>
      <c r="H477" s="163">
        <v>0</v>
      </c>
      <c r="I477" s="163">
        <f>2012.398</f>
        <v>2012.398</v>
      </c>
      <c r="J477" s="74">
        <f>615.12517+100</f>
        <v>715.12517</v>
      </c>
      <c r="K477" s="230"/>
      <c r="L477" s="224"/>
    </row>
    <row r="478" spans="1:12" ht="14.25">
      <c r="A478" s="224"/>
      <c r="B478" s="224"/>
      <c r="C478" s="96">
        <v>2020</v>
      </c>
      <c r="D478" s="143">
        <f>I478+J478</f>
        <v>2600.976</v>
      </c>
      <c r="E478" s="143">
        <v>0</v>
      </c>
      <c r="F478" s="143"/>
      <c r="G478" s="143"/>
      <c r="H478" s="163">
        <v>0</v>
      </c>
      <c r="I478" s="163">
        <f>1976.976</f>
        <v>1976.976</v>
      </c>
      <c r="J478" s="74">
        <f>624</f>
        <v>624</v>
      </c>
      <c r="K478" s="230"/>
      <c r="L478" s="224"/>
    </row>
    <row r="479" spans="1:12" ht="14.25">
      <c r="A479" s="224"/>
      <c r="B479" s="224"/>
      <c r="C479" s="96">
        <v>2021</v>
      </c>
      <c r="D479" s="143">
        <f>H479+I479+J479</f>
        <v>2263.165</v>
      </c>
      <c r="E479" s="143">
        <v>0</v>
      </c>
      <c r="F479" s="143"/>
      <c r="G479" s="143"/>
      <c r="H479" s="163">
        <f>H478</f>
        <v>0</v>
      </c>
      <c r="I479" s="163">
        <v>1639.165</v>
      </c>
      <c r="J479" s="74">
        <f>J478</f>
        <v>624</v>
      </c>
      <c r="K479" s="230"/>
      <c r="L479" s="224"/>
    </row>
    <row r="480" spans="1:12" ht="14.25">
      <c r="A480" s="225"/>
      <c r="B480" s="225"/>
      <c r="C480" s="96">
        <v>2022</v>
      </c>
      <c r="D480" s="143">
        <f>H480+I480+J480</f>
        <v>2248.852</v>
      </c>
      <c r="E480" s="143">
        <v>0</v>
      </c>
      <c r="F480" s="143"/>
      <c r="G480" s="143"/>
      <c r="H480" s="163">
        <f>H479</f>
        <v>0</v>
      </c>
      <c r="I480" s="163">
        <v>1624.852</v>
      </c>
      <c r="J480" s="74">
        <f>J479</f>
        <v>624</v>
      </c>
      <c r="K480" s="231"/>
      <c r="L480" s="224"/>
    </row>
    <row r="481" spans="1:12" ht="15" customHeight="1">
      <c r="A481" s="223" t="s">
        <v>112</v>
      </c>
      <c r="B481" s="223" t="s">
        <v>283</v>
      </c>
      <c r="C481" s="96">
        <v>2017</v>
      </c>
      <c r="D481" s="143">
        <f>H481+I481</f>
        <v>3025.10411</v>
      </c>
      <c r="E481" s="143">
        <v>0</v>
      </c>
      <c r="F481" s="143">
        <f>H481+G481</f>
        <v>1177.145</v>
      </c>
      <c r="G481" s="143"/>
      <c r="H481" s="163">
        <v>1177.145</v>
      </c>
      <c r="I481" s="163">
        <v>1847.95911</v>
      </c>
      <c r="J481" s="74">
        <v>0</v>
      </c>
      <c r="K481" s="232" t="s">
        <v>58</v>
      </c>
      <c r="L481" s="224"/>
    </row>
    <row r="482" spans="1:12" ht="14.25">
      <c r="A482" s="224"/>
      <c r="B482" s="224"/>
      <c r="C482" s="96">
        <v>2018</v>
      </c>
      <c r="D482" s="143">
        <f>E482+H482+I482</f>
        <v>2856.56973</v>
      </c>
      <c r="E482" s="143">
        <v>0</v>
      </c>
      <c r="F482" s="143">
        <f aca="true" t="shared" si="7" ref="F482:F490">G482+H482</f>
        <v>1236.702</v>
      </c>
      <c r="G482" s="143"/>
      <c r="H482" s="163">
        <v>1236.702</v>
      </c>
      <c r="I482" s="163">
        <f>583.44253+1036.4252</f>
        <v>1619.86773</v>
      </c>
      <c r="J482" s="74">
        <v>0</v>
      </c>
      <c r="K482" s="233"/>
      <c r="L482" s="224"/>
    </row>
    <row r="483" spans="1:12" ht="15" customHeight="1">
      <c r="A483" s="224"/>
      <c r="B483" s="224"/>
      <c r="C483" s="96">
        <v>2019</v>
      </c>
      <c r="D483" s="143">
        <f>H483+I483+J483</f>
        <v>3233.91</v>
      </c>
      <c r="E483" s="143">
        <v>0</v>
      </c>
      <c r="F483" s="143">
        <f t="shared" si="7"/>
        <v>1262.191</v>
      </c>
      <c r="G483" s="143"/>
      <c r="H483" s="163">
        <f>1262.191</f>
        <v>1262.191</v>
      </c>
      <c r="I483" s="163">
        <f>660.205+1311.514</f>
        <v>1971.719</v>
      </c>
      <c r="J483" s="74">
        <v>0</v>
      </c>
      <c r="K483" s="233"/>
      <c r="L483" s="224"/>
    </row>
    <row r="484" spans="1:12" ht="14.25">
      <c r="A484" s="224"/>
      <c r="B484" s="224"/>
      <c r="C484" s="96">
        <v>2020</v>
      </c>
      <c r="D484" s="143">
        <f>H484+I484+J484</f>
        <v>3419.75</v>
      </c>
      <c r="E484" s="143">
        <v>0</v>
      </c>
      <c r="F484" s="143">
        <f t="shared" si="7"/>
        <v>1405.42</v>
      </c>
      <c r="G484" s="143"/>
      <c r="H484" s="163">
        <f>1405.42</f>
        <v>1405.42</v>
      </c>
      <c r="I484" s="163">
        <f>714.875+1299.455</f>
        <v>2014.33</v>
      </c>
      <c r="J484" s="74">
        <v>0</v>
      </c>
      <c r="K484" s="233"/>
      <c r="L484" s="224"/>
    </row>
    <row r="485" spans="1:12" ht="14.25">
      <c r="A485" s="224"/>
      <c r="B485" s="224"/>
      <c r="C485" s="96">
        <v>2021</v>
      </c>
      <c r="D485" s="143">
        <f>H485+I485+J485</f>
        <v>3247.866</v>
      </c>
      <c r="E485" s="143"/>
      <c r="F485" s="143">
        <f>H485</f>
        <v>1405.42</v>
      </c>
      <c r="G485" s="143"/>
      <c r="H485" s="163">
        <f>H484</f>
        <v>1405.42</v>
      </c>
      <c r="I485" s="163">
        <f>542.991+1299.455</f>
        <v>1842.446</v>
      </c>
      <c r="J485" s="74">
        <f>J24</f>
        <v>0</v>
      </c>
      <c r="K485" s="233"/>
      <c r="L485" s="224"/>
    </row>
    <row r="486" spans="1:12" ht="14.25">
      <c r="A486" s="225"/>
      <c r="B486" s="225"/>
      <c r="C486" s="96">
        <v>2022</v>
      </c>
      <c r="D486" s="143">
        <f>H486+I486+J486</f>
        <v>3242.4</v>
      </c>
      <c r="E486" s="143"/>
      <c r="F486" s="143">
        <f>H486</f>
        <v>1405.42</v>
      </c>
      <c r="G486" s="143"/>
      <c r="H486" s="163">
        <f>H485</f>
        <v>1405.42</v>
      </c>
      <c r="I486" s="163">
        <f>537.525+1299.455</f>
        <v>1836.98</v>
      </c>
      <c r="J486" s="74">
        <f>J25</f>
        <v>0</v>
      </c>
      <c r="K486" s="234"/>
      <c r="L486" s="224"/>
    </row>
    <row r="487" spans="1:12" ht="15" customHeight="1">
      <c r="A487" s="223" t="s">
        <v>113</v>
      </c>
      <c r="B487" s="223" t="s">
        <v>284</v>
      </c>
      <c r="C487" s="96">
        <v>2017</v>
      </c>
      <c r="D487" s="143">
        <f>H487+I487</f>
        <v>9997.699139999999</v>
      </c>
      <c r="E487" s="143">
        <v>0</v>
      </c>
      <c r="F487" s="143">
        <f t="shared" si="7"/>
        <v>1384.168</v>
      </c>
      <c r="G487" s="143"/>
      <c r="H487" s="163">
        <v>1384.168</v>
      </c>
      <c r="I487" s="163">
        <v>8613.53114</v>
      </c>
      <c r="J487" s="74">
        <v>0</v>
      </c>
      <c r="K487" s="229" t="s">
        <v>51</v>
      </c>
      <c r="L487" s="224"/>
    </row>
    <row r="488" spans="1:12" ht="14.25">
      <c r="A488" s="224"/>
      <c r="B488" s="224"/>
      <c r="C488" s="96">
        <v>2018</v>
      </c>
      <c r="D488" s="143">
        <f>E488+H488+I488+J488</f>
        <v>10560.688610000001</v>
      </c>
      <c r="E488" s="143">
        <v>0</v>
      </c>
      <c r="F488" s="143">
        <f t="shared" si="7"/>
        <v>1521.225</v>
      </c>
      <c r="G488" s="143"/>
      <c r="H488" s="163">
        <v>1521.225</v>
      </c>
      <c r="I488" s="163">
        <f>6645.89375+1374.32557</f>
        <v>8020.21932</v>
      </c>
      <c r="J488" s="74">
        <v>1019.24429</v>
      </c>
      <c r="K488" s="230"/>
      <c r="L488" s="224"/>
    </row>
    <row r="489" spans="1:12" ht="14.25">
      <c r="A489" s="224"/>
      <c r="B489" s="224"/>
      <c r="C489" s="96">
        <v>2019</v>
      </c>
      <c r="D489" s="143">
        <f>F489+I489+J489</f>
        <v>10638.6773</v>
      </c>
      <c r="E489" s="143">
        <v>0</v>
      </c>
      <c r="F489" s="143">
        <f t="shared" si="7"/>
        <v>1514.039</v>
      </c>
      <c r="G489" s="143"/>
      <c r="H489" s="163">
        <v>1514.039</v>
      </c>
      <c r="I489" s="163">
        <f>6000.2454+1623.656+373.01001</f>
        <v>7996.91141</v>
      </c>
      <c r="J489" s="74">
        <f>977.72689+150</f>
        <v>1127.72689</v>
      </c>
      <c r="K489" s="230"/>
      <c r="L489" s="224"/>
    </row>
    <row r="490" spans="1:12" ht="14.25">
      <c r="A490" s="224"/>
      <c r="B490" s="224"/>
      <c r="C490" s="96">
        <v>2020</v>
      </c>
      <c r="D490" s="143">
        <f>F490+I490+J490</f>
        <v>10321.776</v>
      </c>
      <c r="E490" s="143">
        <v>0</v>
      </c>
      <c r="F490" s="143">
        <f t="shared" si="7"/>
        <v>1592.151</v>
      </c>
      <c r="G490" s="143"/>
      <c r="H490" s="163">
        <f>1592.151</f>
        <v>1592.151</v>
      </c>
      <c r="I490" s="163">
        <f>6006.593+1793.032</f>
        <v>7799.625</v>
      </c>
      <c r="J490" s="74">
        <f>930</f>
        <v>930</v>
      </c>
      <c r="K490" s="230"/>
      <c r="L490" s="224"/>
    </row>
    <row r="491" spans="1:12" ht="14.25">
      <c r="A491" s="224"/>
      <c r="B491" s="224"/>
      <c r="C491" s="96">
        <v>2021</v>
      </c>
      <c r="D491" s="143">
        <f>F491+J491+I491</f>
        <v>9470.426</v>
      </c>
      <c r="E491" s="143">
        <v>0</v>
      </c>
      <c r="F491" s="143">
        <f>F490</f>
        <v>1592.151</v>
      </c>
      <c r="G491" s="143"/>
      <c r="H491" s="163">
        <f>H490</f>
        <v>1592.151</v>
      </c>
      <c r="I491" s="163">
        <f>5155.243+1793.032</f>
        <v>6948.275000000001</v>
      </c>
      <c r="J491" s="74">
        <f>J490</f>
        <v>930</v>
      </c>
      <c r="K491" s="230"/>
      <c r="L491" s="224"/>
    </row>
    <row r="492" spans="1:12" ht="14.25">
      <c r="A492" s="225"/>
      <c r="B492" s="225"/>
      <c r="C492" s="96">
        <v>2022</v>
      </c>
      <c r="D492" s="143">
        <f>F492+J492+I492</f>
        <v>9364.824</v>
      </c>
      <c r="E492" s="143">
        <v>0</v>
      </c>
      <c r="F492" s="143">
        <f>F491</f>
        <v>1592.151</v>
      </c>
      <c r="G492" s="143"/>
      <c r="H492" s="163">
        <f>H491</f>
        <v>1592.151</v>
      </c>
      <c r="I492" s="163">
        <f>1793.032+5049.641</f>
        <v>6842.673</v>
      </c>
      <c r="J492" s="74">
        <f>J491</f>
        <v>930</v>
      </c>
      <c r="K492" s="231"/>
      <c r="L492" s="224"/>
    </row>
    <row r="493" spans="1:12" ht="14.25" customHeight="1">
      <c r="A493" s="211" t="s">
        <v>182</v>
      </c>
      <c r="B493" s="211" t="s">
        <v>231</v>
      </c>
      <c r="C493" s="99">
        <v>2017</v>
      </c>
      <c r="D493" s="143">
        <f>I493</f>
        <v>11000</v>
      </c>
      <c r="E493" s="143">
        <v>0</v>
      </c>
      <c r="F493" s="143"/>
      <c r="G493" s="143"/>
      <c r="H493" s="163">
        <v>0</v>
      </c>
      <c r="I493" s="163">
        <v>11000</v>
      </c>
      <c r="J493" s="74">
        <v>0</v>
      </c>
      <c r="K493" s="80"/>
      <c r="L493" s="224"/>
    </row>
    <row r="494" spans="1:12" ht="14.25" customHeight="1">
      <c r="A494" s="211"/>
      <c r="B494" s="211"/>
      <c r="C494" s="99">
        <v>2018</v>
      </c>
      <c r="D494" s="77">
        <f>I494</f>
        <v>0</v>
      </c>
      <c r="E494" s="77">
        <v>0</v>
      </c>
      <c r="F494" s="77"/>
      <c r="G494" s="77"/>
      <c r="H494" s="144">
        <v>0</v>
      </c>
      <c r="I494" s="144">
        <v>0</v>
      </c>
      <c r="J494" s="81">
        <v>0</v>
      </c>
      <c r="K494" s="80"/>
      <c r="L494" s="224"/>
    </row>
    <row r="495" spans="1:12" ht="14.25">
      <c r="A495" s="211"/>
      <c r="B495" s="211"/>
      <c r="C495" s="99">
        <v>2019</v>
      </c>
      <c r="D495" s="77">
        <v>0</v>
      </c>
      <c r="E495" s="77">
        <v>0</v>
      </c>
      <c r="F495" s="77"/>
      <c r="G495" s="77"/>
      <c r="H495" s="144">
        <v>0</v>
      </c>
      <c r="I495" s="144">
        <v>0</v>
      </c>
      <c r="J495" s="81">
        <v>0</v>
      </c>
      <c r="K495" s="80"/>
      <c r="L495" s="224"/>
    </row>
    <row r="496" spans="1:12" ht="14.25">
      <c r="A496" s="211"/>
      <c r="B496" s="211"/>
      <c r="C496" s="100">
        <v>2020</v>
      </c>
      <c r="D496" s="82">
        <v>0</v>
      </c>
      <c r="E496" s="82">
        <v>0</v>
      </c>
      <c r="F496" s="82"/>
      <c r="G496" s="82"/>
      <c r="H496" s="83">
        <v>0</v>
      </c>
      <c r="I496" s="83">
        <v>0</v>
      </c>
      <c r="J496" s="82">
        <v>0</v>
      </c>
      <c r="K496" s="80"/>
      <c r="L496" s="224"/>
    </row>
    <row r="497" spans="1:12" ht="14.25">
      <c r="A497" s="211"/>
      <c r="B497" s="211"/>
      <c r="C497" s="100">
        <v>2021</v>
      </c>
      <c r="D497" s="82">
        <v>0</v>
      </c>
      <c r="E497" s="82">
        <v>0</v>
      </c>
      <c r="F497" s="82"/>
      <c r="G497" s="82"/>
      <c r="H497" s="83">
        <v>0</v>
      </c>
      <c r="I497" s="83">
        <v>0</v>
      </c>
      <c r="J497" s="82">
        <v>0</v>
      </c>
      <c r="K497" s="80"/>
      <c r="L497" s="224"/>
    </row>
    <row r="498" spans="1:12" ht="14.25">
      <c r="A498" s="211"/>
      <c r="B498" s="211"/>
      <c r="C498" s="100">
        <v>2022</v>
      </c>
      <c r="D498" s="82">
        <v>0</v>
      </c>
      <c r="E498" s="82">
        <v>0</v>
      </c>
      <c r="F498" s="82"/>
      <c r="G498" s="82"/>
      <c r="H498" s="83">
        <v>0</v>
      </c>
      <c r="I498" s="83">
        <v>0</v>
      </c>
      <c r="J498" s="82">
        <v>0</v>
      </c>
      <c r="K498" s="80"/>
      <c r="L498" s="224"/>
    </row>
    <row r="499" spans="1:12" ht="14.25" customHeight="1">
      <c r="A499" s="238" t="s">
        <v>168</v>
      </c>
      <c r="B499" s="238"/>
      <c r="C499" s="95">
        <v>2017</v>
      </c>
      <c r="D499" s="145">
        <f>H499+I499</f>
        <v>71267.23366</v>
      </c>
      <c r="E499" s="145">
        <v>0</v>
      </c>
      <c r="F499" s="145">
        <f>H499+G499</f>
        <v>9022.5</v>
      </c>
      <c r="G499" s="145"/>
      <c r="H499" s="145">
        <f>H487+H481+H469+H463+H457+H451</f>
        <v>9022.5</v>
      </c>
      <c r="I499" s="145">
        <f>I487+I481+I475+I469+I463+I457+I451+I493</f>
        <v>62244.73366</v>
      </c>
      <c r="J499" s="81">
        <v>0</v>
      </c>
      <c r="K499" s="84"/>
      <c r="L499" s="225"/>
    </row>
    <row r="500" spans="1:12" ht="14.25">
      <c r="A500" s="238"/>
      <c r="B500" s="238"/>
      <c r="C500" s="95">
        <v>2018</v>
      </c>
      <c r="D500" s="145">
        <f>H500+I500+J500</f>
        <v>64692.00684</v>
      </c>
      <c r="E500" s="145">
        <f>E174+E180+E186+E192+E423+E424+E432+E433+E434+E449+E453+E459+E465+E471+E472+E476+E482+E488+E444</f>
        <v>0</v>
      </c>
      <c r="F500" s="145">
        <f>G500+H500</f>
        <v>10191.218</v>
      </c>
      <c r="G500" s="145"/>
      <c r="H500" s="145">
        <f>H452+H458+H464+H470+H482+H488</f>
        <v>10191.218</v>
      </c>
      <c r="I500" s="145">
        <f>I452+I458+I464+I470+I476+I482+I488+I494</f>
        <v>48561.75009</v>
      </c>
      <c r="J500" s="85">
        <f>J488+J482+J476+J470+J464+J458+J452</f>
        <v>5939.03875</v>
      </c>
      <c r="K500" s="75"/>
      <c r="L500" s="78"/>
    </row>
    <row r="501" spans="1:12" ht="14.25">
      <c r="A501" s="238"/>
      <c r="B501" s="238"/>
      <c r="C501" s="95">
        <v>2019</v>
      </c>
      <c r="D501" s="145">
        <f>E501+H501+I501+J501</f>
        <v>64963.87522</v>
      </c>
      <c r="E501" s="145">
        <f>E172+E178+E184+E190+E425+E445+E450+E454+E460+E466+E477+E483+E489</f>
        <v>0</v>
      </c>
      <c r="F501" s="145">
        <f>G501+H501</f>
        <v>10586.964000000002</v>
      </c>
      <c r="G501" s="145"/>
      <c r="H501" s="145">
        <f>H453+H459+H465+H471+H483+H489</f>
        <v>10586.964000000002</v>
      </c>
      <c r="I501" s="145">
        <f>I489+I483+I477+I471+I465+I459+I453</f>
        <v>44433.64029</v>
      </c>
      <c r="J501" s="85">
        <f>J489+J483+J477+J471+J465+J459+J453</f>
        <v>9943.270929999999</v>
      </c>
      <c r="K501" s="75"/>
      <c r="L501" s="76"/>
    </row>
    <row r="502" spans="1:12" ht="14.25">
      <c r="A502" s="238"/>
      <c r="B502" s="238"/>
      <c r="C502" s="95">
        <v>2020</v>
      </c>
      <c r="D502" s="145">
        <f>H502+I502+J502</f>
        <v>70442.363</v>
      </c>
      <c r="E502" s="145">
        <f>E173+E185+E191+E430+E447+E452+E458+E464+E470+E478+E484+E490</f>
        <v>0</v>
      </c>
      <c r="F502" s="145">
        <f>H502+G502</f>
        <v>11163.9</v>
      </c>
      <c r="G502" s="145"/>
      <c r="H502" s="145">
        <f>H454+H460+H466+H472+H484+H490</f>
        <v>11163.9</v>
      </c>
      <c r="I502" s="145">
        <f>I454+I460+I466+I472+I478+I484+I490</f>
        <v>50209.843</v>
      </c>
      <c r="J502" s="85">
        <f>J490+J484+J478+J472+J466+J460+J454</f>
        <v>9068.619999999999</v>
      </c>
      <c r="K502" s="75"/>
      <c r="L502" s="76"/>
    </row>
    <row r="503" spans="1:12" ht="14.25">
      <c r="A503" s="238"/>
      <c r="B503" s="238"/>
      <c r="C503" s="101">
        <v>2021</v>
      </c>
      <c r="D503" s="86">
        <f>H503+I503+J503</f>
        <v>65741.243</v>
      </c>
      <c r="E503" s="86">
        <v>0</v>
      </c>
      <c r="F503" s="86">
        <f>H503</f>
        <v>11163.900000000001</v>
      </c>
      <c r="G503" s="86"/>
      <c r="H503" s="86">
        <f>H497+H491+H485+H479+H473+H467+H461+H455</f>
        <v>11163.900000000001</v>
      </c>
      <c r="I503" s="86">
        <f>I497+I491+I485+I479+I473+I461+I455+I467</f>
        <v>45508.723</v>
      </c>
      <c r="J503" s="86">
        <f>J497+J491+J485+J479+J473+J467+J461+J455</f>
        <v>9068.619999999999</v>
      </c>
      <c r="K503" s="86"/>
      <c r="L503" s="76"/>
    </row>
    <row r="504" spans="1:12" ht="14.25">
      <c r="A504" s="238"/>
      <c r="B504" s="238"/>
      <c r="C504" s="101">
        <v>2022</v>
      </c>
      <c r="D504" s="86">
        <f>H504+I504+J504</f>
        <v>65440.583</v>
      </c>
      <c r="E504" s="86">
        <v>0</v>
      </c>
      <c r="F504" s="86">
        <f>H504</f>
        <v>11163.900000000001</v>
      </c>
      <c r="G504" s="86"/>
      <c r="H504" s="86">
        <f>H492+H486+H480+H474+H468+H462+H456</f>
        <v>11163.900000000001</v>
      </c>
      <c r="I504" s="86">
        <f>I492+I486+I480+I474+I468+I462+I456</f>
        <v>45208.062999999995</v>
      </c>
      <c r="J504" s="86">
        <f>J492+J486+J480+J474+J468+J462+J456</f>
        <v>9068.619999999999</v>
      </c>
      <c r="K504" s="86"/>
      <c r="L504" s="76"/>
    </row>
    <row r="505" spans="1:12" ht="14.25" customHeight="1">
      <c r="A505" s="235" t="s">
        <v>98</v>
      </c>
      <c r="B505" s="236"/>
      <c r="C505" s="236"/>
      <c r="D505" s="236"/>
      <c r="E505" s="236"/>
      <c r="F505" s="236"/>
      <c r="G505" s="236"/>
      <c r="H505" s="236"/>
      <c r="I505" s="236"/>
      <c r="J505" s="237"/>
      <c r="K505" s="87"/>
      <c r="L505" s="86"/>
    </row>
    <row r="506" spans="1:12" ht="14.25">
      <c r="A506" s="74" t="s">
        <v>150</v>
      </c>
      <c r="B506" s="88" t="s">
        <v>151</v>
      </c>
      <c r="C506" s="89"/>
      <c r="D506" s="89"/>
      <c r="E506" s="89"/>
      <c r="F506" s="89"/>
      <c r="G506" s="89"/>
      <c r="H506" s="89"/>
      <c r="I506" s="89"/>
      <c r="J506" s="89"/>
      <c r="K506" s="89"/>
      <c r="L506" s="87"/>
    </row>
    <row r="507" spans="1:12" ht="28.5" customHeight="1" hidden="1">
      <c r="A507" s="74"/>
      <c r="B507" s="260"/>
      <c r="C507" s="261"/>
      <c r="D507" s="261"/>
      <c r="E507" s="261"/>
      <c r="F507" s="261"/>
      <c r="G507" s="261"/>
      <c r="H507" s="261"/>
      <c r="I507" s="261"/>
      <c r="J507" s="261"/>
      <c r="K507" s="261"/>
      <c r="L507" s="262"/>
    </row>
    <row r="508" spans="1:12" ht="21" customHeight="1">
      <c r="A508" s="239" t="s">
        <v>99</v>
      </c>
      <c r="B508" s="239" t="s">
        <v>152</v>
      </c>
      <c r="C508" s="158">
        <v>2017</v>
      </c>
      <c r="D508" s="144">
        <f>H508</f>
        <v>16.3</v>
      </c>
      <c r="E508" s="144">
        <v>0</v>
      </c>
      <c r="F508" s="144"/>
      <c r="G508" s="144"/>
      <c r="H508" s="144">
        <v>16.3</v>
      </c>
      <c r="I508" s="105">
        <v>0</v>
      </c>
      <c r="J508" s="105">
        <v>0</v>
      </c>
      <c r="K508" s="89"/>
      <c r="L508" s="226" t="s">
        <v>152</v>
      </c>
    </row>
    <row r="509" spans="1:12" ht="18.75" customHeight="1">
      <c r="A509" s="240"/>
      <c r="B509" s="240"/>
      <c r="C509" s="96">
        <v>2018</v>
      </c>
      <c r="D509" s="143">
        <f>SUM(E509:I509)</f>
        <v>16.2</v>
      </c>
      <c r="E509" s="145">
        <v>0</v>
      </c>
      <c r="F509" s="145"/>
      <c r="G509" s="145"/>
      <c r="H509" s="143">
        <v>16.2</v>
      </c>
      <c r="I509" s="143">
        <v>0</v>
      </c>
      <c r="J509" s="143">
        <v>0</v>
      </c>
      <c r="K509" s="90"/>
      <c r="L509" s="227"/>
    </row>
    <row r="510" spans="1:12" ht="14.25">
      <c r="A510" s="240"/>
      <c r="B510" s="240"/>
      <c r="C510" s="96">
        <v>2019</v>
      </c>
      <c r="D510" s="143">
        <f>F510</f>
        <v>16</v>
      </c>
      <c r="E510" s="145">
        <v>0</v>
      </c>
      <c r="F510" s="145">
        <f aca="true" t="shared" si="8" ref="F510:F516">H510</f>
        <v>16</v>
      </c>
      <c r="G510" s="145"/>
      <c r="H510" s="143">
        <v>16</v>
      </c>
      <c r="I510" s="143">
        <v>0</v>
      </c>
      <c r="J510" s="143">
        <v>0</v>
      </c>
      <c r="K510" s="90"/>
      <c r="L510" s="227"/>
    </row>
    <row r="511" spans="1:12" ht="14.25">
      <c r="A511" s="240"/>
      <c r="B511" s="240"/>
      <c r="C511" s="96">
        <v>2020</v>
      </c>
      <c r="D511" s="143">
        <f>F511</f>
        <v>16.6</v>
      </c>
      <c r="E511" s="145">
        <f>F511</f>
        <v>16.6</v>
      </c>
      <c r="F511" s="145">
        <f t="shared" si="8"/>
        <v>16.6</v>
      </c>
      <c r="G511" s="145"/>
      <c r="H511" s="143">
        <v>16.6</v>
      </c>
      <c r="I511" s="143">
        <v>0</v>
      </c>
      <c r="J511" s="143">
        <v>0</v>
      </c>
      <c r="K511" s="90"/>
      <c r="L511" s="227"/>
    </row>
    <row r="512" spans="1:12" ht="14.25">
      <c r="A512" s="240"/>
      <c r="B512" s="240"/>
      <c r="C512" s="96">
        <v>2021</v>
      </c>
      <c r="D512" s="143">
        <f>H512</f>
        <v>16.6</v>
      </c>
      <c r="E512" s="145">
        <f>F512</f>
        <v>16.6</v>
      </c>
      <c r="F512" s="145">
        <f t="shared" si="8"/>
        <v>16.6</v>
      </c>
      <c r="G512" s="145"/>
      <c r="H512" s="143">
        <v>16.6</v>
      </c>
      <c r="I512" s="143"/>
      <c r="J512" s="143"/>
      <c r="K512" s="90"/>
      <c r="L512" s="227"/>
    </row>
    <row r="513" spans="1:12" ht="14.25">
      <c r="A513" s="241"/>
      <c r="B513" s="241"/>
      <c r="C513" s="96">
        <v>2022</v>
      </c>
      <c r="D513" s="143">
        <f>H513</f>
        <v>16.6</v>
      </c>
      <c r="E513" s="145">
        <f>F513</f>
        <v>16.6</v>
      </c>
      <c r="F513" s="145">
        <f t="shared" si="8"/>
        <v>16.6</v>
      </c>
      <c r="G513" s="145"/>
      <c r="H513" s="143">
        <v>16.6</v>
      </c>
      <c r="I513" s="143"/>
      <c r="J513" s="143"/>
      <c r="K513" s="90"/>
      <c r="L513" s="227"/>
    </row>
    <row r="514" spans="1:12" ht="14.25" customHeight="1">
      <c r="A514" s="263" t="s">
        <v>168</v>
      </c>
      <c r="B514" s="264"/>
      <c r="C514" s="95">
        <v>2017</v>
      </c>
      <c r="D514" s="145">
        <f>H514</f>
        <v>16.3</v>
      </c>
      <c r="E514" s="145">
        <v>0</v>
      </c>
      <c r="F514" s="145">
        <f t="shared" si="8"/>
        <v>16.3</v>
      </c>
      <c r="G514" s="145"/>
      <c r="H514" s="145">
        <f>H508</f>
        <v>16.3</v>
      </c>
      <c r="I514" s="143">
        <v>0</v>
      </c>
      <c r="J514" s="143">
        <v>0</v>
      </c>
      <c r="K514" s="90"/>
      <c r="L514" s="227"/>
    </row>
    <row r="515" spans="1:12" ht="14.25">
      <c r="A515" s="265"/>
      <c r="B515" s="266"/>
      <c r="C515" s="95">
        <v>2018</v>
      </c>
      <c r="D515" s="145">
        <f>E515+H515+I515</f>
        <v>16.2</v>
      </c>
      <c r="E515" s="145">
        <f>E185+E191+E425+E429+E433+E434+E444+E452+E453+E454+E465+E471+E477+E483+E489+E490+E500+E503+E509+E458</f>
        <v>0</v>
      </c>
      <c r="F515" s="145">
        <f t="shared" si="8"/>
        <v>16.2</v>
      </c>
      <c r="G515" s="145"/>
      <c r="H515" s="145">
        <f aca="true" t="shared" si="9" ref="H515:I517">H509</f>
        <v>16.2</v>
      </c>
      <c r="I515" s="145">
        <v>0</v>
      </c>
      <c r="J515" s="91">
        <v>0</v>
      </c>
      <c r="K515" s="75"/>
      <c r="L515" s="227"/>
    </row>
    <row r="516" spans="1:12" ht="14.25">
      <c r="A516" s="265"/>
      <c r="B516" s="266"/>
      <c r="C516" s="95">
        <v>2019</v>
      </c>
      <c r="D516" s="145">
        <f>E516+H516+I516</f>
        <v>16</v>
      </c>
      <c r="E516" s="145">
        <f>E186+E192+E426+E430+E445+E459+E466+E472+E478+E484+E501+E505+E510</f>
        <v>0</v>
      </c>
      <c r="F516" s="145">
        <f t="shared" si="8"/>
        <v>16</v>
      </c>
      <c r="G516" s="145"/>
      <c r="H516" s="145">
        <f>16</f>
        <v>16</v>
      </c>
      <c r="I516" s="145">
        <f t="shared" si="9"/>
        <v>0</v>
      </c>
      <c r="J516" s="91">
        <v>0</v>
      </c>
      <c r="K516" s="75"/>
      <c r="L516" s="227"/>
    </row>
    <row r="517" spans="1:12" ht="14.25">
      <c r="A517" s="265"/>
      <c r="B517" s="266"/>
      <c r="C517" s="95">
        <v>2020</v>
      </c>
      <c r="D517" s="145">
        <f>E517</f>
        <v>16.6</v>
      </c>
      <c r="E517" s="145">
        <f>E190+E423+E428+E432+E450+E464+E470+E476+E482+E488+E502+E506+E511</f>
        <v>16.6</v>
      </c>
      <c r="F517" s="145">
        <v>0</v>
      </c>
      <c r="G517" s="145"/>
      <c r="H517" s="145">
        <v>0</v>
      </c>
      <c r="I517" s="145">
        <f t="shared" si="9"/>
        <v>0</v>
      </c>
      <c r="J517" s="91">
        <v>0</v>
      </c>
      <c r="K517" s="75"/>
      <c r="L517" s="227"/>
    </row>
    <row r="518" spans="1:12" ht="14.25">
      <c r="A518" s="265"/>
      <c r="B518" s="266"/>
      <c r="C518" s="95">
        <v>2021</v>
      </c>
      <c r="D518" s="145">
        <f>E518</f>
        <v>16.6</v>
      </c>
      <c r="E518" s="145">
        <v>16.6</v>
      </c>
      <c r="F518" s="145">
        <v>0</v>
      </c>
      <c r="G518" s="145"/>
      <c r="H518" s="145">
        <v>0</v>
      </c>
      <c r="I518" s="145">
        <v>0</v>
      </c>
      <c r="J518" s="91">
        <v>0</v>
      </c>
      <c r="K518" s="75"/>
      <c r="L518" s="227"/>
    </row>
    <row r="519" spans="1:12" ht="14.25">
      <c r="A519" s="267"/>
      <c r="B519" s="268"/>
      <c r="C519" s="95">
        <v>2022</v>
      </c>
      <c r="D519" s="145">
        <f>E519</f>
        <v>16.6</v>
      </c>
      <c r="E519" s="145">
        <v>16.6</v>
      </c>
      <c r="F519" s="145">
        <v>0</v>
      </c>
      <c r="G519" s="145"/>
      <c r="H519" s="145">
        <v>0</v>
      </c>
      <c r="I519" s="145">
        <v>0</v>
      </c>
      <c r="J519" s="91">
        <v>0</v>
      </c>
      <c r="K519" s="75"/>
      <c r="L519" s="228"/>
    </row>
    <row r="520" spans="1:12" ht="14.25" customHeight="1">
      <c r="A520" s="238" t="s">
        <v>59</v>
      </c>
      <c r="B520" s="238"/>
      <c r="C520" s="95">
        <v>2017</v>
      </c>
      <c r="D520" s="145">
        <f>I520+H520</f>
        <v>83485.04676000001</v>
      </c>
      <c r="E520" s="145">
        <v>0</v>
      </c>
      <c r="F520" s="145">
        <f>H520+G520</f>
        <v>9038.8</v>
      </c>
      <c r="G520" s="145"/>
      <c r="H520" s="145">
        <f>H499+H514</f>
        <v>9038.8</v>
      </c>
      <c r="I520" s="145">
        <f>I514+I499+I443+I422+I123</f>
        <v>74446.24676000001</v>
      </c>
      <c r="J520" s="91">
        <v>0</v>
      </c>
      <c r="K520" s="75"/>
      <c r="L520" s="76"/>
    </row>
    <row r="521" spans="1:12" ht="14.25" customHeight="1">
      <c r="A521" s="238"/>
      <c r="B521" s="238"/>
      <c r="C521" s="95">
        <v>2018</v>
      </c>
      <c r="D521" s="145">
        <f>E521+H521+I521+J521</f>
        <v>81020.64127</v>
      </c>
      <c r="E521" s="145">
        <f>SUM(E18+E24+E31+E37+E45+E55+E67+E73+E79+E85+E90+E99+E166+E172+E178+E190+E432+E452+E458+E464+E470+E476+E482+E488+E509)</f>
        <v>0</v>
      </c>
      <c r="F521" s="145">
        <f>G521+H521</f>
        <v>10207.418000000001</v>
      </c>
      <c r="G521" s="145"/>
      <c r="H521" s="145">
        <f>SUM(H18+H24+H31+H37+H45+H55+H67+H73+H79+H85+H90+H99+H166+H172+H178+H190+H432+H452+H458+H464+H470+H476+H482+H488+H509)</f>
        <v>10207.418000000001</v>
      </c>
      <c r="I521" s="145">
        <f>I500+I444+I423+I124</f>
        <v>64874.184519999995</v>
      </c>
      <c r="J521" s="145">
        <f>J500</f>
        <v>5939.03875</v>
      </c>
      <c r="K521" s="90"/>
      <c r="L521" s="76"/>
    </row>
    <row r="522" spans="1:12" ht="14.25">
      <c r="A522" s="238"/>
      <c r="B522" s="238"/>
      <c r="C522" s="95">
        <v>2019</v>
      </c>
      <c r="D522" s="145">
        <f>H522+I522+J522</f>
        <v>89416.72404000002</v>
      </c>
      <c r="E522" s="145">
        <f>SUM(E19+E25+E32+E38+E46+E58+E68+E74+E80+E86+E93+E100+E168+E173+E179+E191+E433+E453+E459+E465+E471+E477+E483+E489+E510)</f>
        <v>0</v>
      </c>
      <c r="F522" s="145">
        <f>G522+H522</f>
        <v>10602.964000000002</v>
      </c>
      <c r="G522" s="145"/>
      <c r="H522" s="145">
        <f>H501+H516+H424</f>
        <v>10602.964000000002</v>
      </c>
      <c r="I522" s="145">
        <f>I501+I445+I424+I125</f>
        <v>68870.48911000001</v>
      </c>
      <c r="J522" s="145">
        <f>J501</f>
        <v>9943.270929999999</v>
      </c>
      <c r="K522" s="90"/>
      <c r="L522" s="78"/>
    </row>
    <row r="523" spans="1:12" ht="14.25">
      <c r="A523" s="238"/>
      <c r="B523" s="238"/>
      <c r="C523" s="94">
        <v>2020</v>
      </c>
      <c r="D523" s="125">
        <f>H523+I523+J523+E523</f>
        <v>84845.92599999999</v>
      </c>
      <c r="E523" s="125">
        <f>SUM(E20+E26+E33+E39+E48+E61+E69+E75+E81+E87+E95+E108+E174+E180+E192+E434+E454+E460+E466+E472+E478+E484+E490+E511)</f>
        <v>16.6</v>
      </c>
      <c r="F523" s="125">
        <f>H523+G523</f>
        <v>11163.9</v>
      </c>
      <c r="G523" s="125"/>
      <c r="H523" s="125">
        <f>H502+H517</f>
        <v>11163.9</v>
      </c>
      <c r="I523" s="125">
        <f>I502+I446+I425+I126</f>
        <v>64596.806</v>
      </c>
      <c r="J523" s="125">
        <f>J502</f>
        <v>9068.619999999999</v>
      </c>
      <c r="K523" s="90"/>
      <c r="L523" s="78"/>
    </row>
    <row r="524" spans="1:12" ht="14.25">
      <c r="A524" s="238"/>
      <c r="B524" s="238"/>
      <c r="C524" s="95">
        <v>2021</v>
      </c>
      <c r="D524" s="145">
        <f>F524+I524+J524+E524</f>
        <v>76600.09</v>
      </c>
      <c r="E524" s="145">
        <f>E523</f>
        <v>16.6</v>
      </c>
      <c r="F524" s="145">
        <f>H524</f>
        <v>11163.900000000001</v>
      </c>
      <c r="G524" s="145"/>
      <c r="H524" s="145">
        <f>H518+H503</f>
        <v>11163.900000000001</v>
      </c>
      <c r="I524" s="145">
        <f>I518+I503+I447+I426+I127</f>
        <v>56350.97</v>
      </c>
      <c r="J524" s="145">
        <f>J518+J503</f>
        <v>9068.619999999999</v>
      </c>
      <c r="K524" s="90"/>
      <c r="L524" s="78"/>
    </row>
    <row r="525" spans="1:12" ht="14.25">
      <c r="A525" s="238"/>
      <c r="B525" s="238"/>
      <c r="C525" s="95">
        <v>2022</v>
      </c>
      <c r="D525" s="145">
        <f>G525+H525+I525+J525+E525</f>
        <v>78799.43</v>
      </c>
      <c r="E525" s="145">
        <f>E524</f>
        <v>16.6</v>
      </c>
      <c r="F525" s="145">
        <f>H525+G525</f>
        <v>13663.900000000001</v>
      </c>
      <c r="G525" s="145">
        <f>G448</f>
        <v>2500</v>
      </c>
      <c r="H525" s="145">
        <f>H504+H519</f>
        <v>11163.900000000001</v>
      </c>
      <c r="I525" s="145">
        <f>I504+I448+I427+I128</f>
        <v>56050.31</v>
      </c>
      <c r="J525" s="145">
        <f>J504</f>
        <v>9068.619999999999</v>
      </c>
      <c r="K525" s="90"/>
      <c r="L525" s="78"/>
    </row>
    <row r="526" spans="1:12" ht="14.25">
      <c r="A526" s="238"/>
      <c r="B526" s="238"/>
      <c r="C526" s="95" t="s">
        <v>293</v>
      </c>
      <c r="D526" s="145">
        <f>F526+I526+J526+E526</f>
        <v>494167.8580700001</v>
      </c>
      <c r="E526" s="145">
        <f>E523+E524+E525</f>
        <v>49.800000000000004</v>
      </c>
      <c r="F526" s="145">
        <f>G526+H526</f>
        <v>65840.88200000001</v>
      </c>
      <c r="G526" s="145">
        <f>G525</f>
        <v>2500</v>
      </c>
      <c r="H526" s="145">
        <f>SUM(H520:H524)+H525</f>
        <v>63340.882000000005</v>
      </c>
      <c r="I526" s="145">
        <f>SUM(I520:I524)+I525</f>
        <v>385189.00639000005</v>
      </c>
      <c r="J526" s="145">
        <f>SUM(J520:J524)+J525</f>
        <v>43088.16967999999</v>
      </c>
      <c r="K526" s="90"/>
      <c r="L526" s="78"/>
    </row>
    <row r="527" spans="1:12" ht="14.25">
      <c r="A527" s="126"/>
      <c r="B527" s="126"/>
      <c r="C527" s="92"/>
      <c r="D527" s="92"/>
      <c r="E527" s="92"/>
      <c r="F527" s="92"/>
      <c r="G527" s="92"/>
      <c r="H527" s="92"/>
      <c r="I527" s="92"/>
      <c r="J527" s="92"/>
      <c r="K527" s="92"/>
      <c r="L527" s="78"/>
    </row>
    <row r="528" spans="1:7" ht="14.25">
      <c r="A528" s="30"/>
      <c r="B528" s="30"/>
      <c r="C528" s="5"/>
      <c r="G528" t="s">
        <v>39</v>
      </c>
    </row>
  </sheetData>
  <sheetProtection/>
  <mergeCells count="242">
    <mergeCell ref="B386:B391"/>
    <mergeCell ref="A189:A194"/>
    <mergeCell ref="B189:B194"/>
    <mergeCell ref="K4:L4"/>
    <mergeCell ref="K2:L2"/>
    <mergeCell ref="K3:L3"/>
    <mergeCell ref="A356:A361"/>
    <mergeCell ref="B183:B188"/>
    <mergeCell ref="A159:A164"/>
    <mergeCell ref="A177:A182"/>
    <mergeCell ref="B177:B182"/>
    <mergeCell ref="A171:A176"/>
    <mergeCell ref="B171:B176"/>
    <mergeCell ref="L98:L115"/>
    <mergeCell ref="B131:L131"/>
    <mergeCell ref="A140:A145"/>
    <mergeCell ref="B140:B145"/>
    <mergeCell ref="B130:L130"/>
    <mergeCell ref="A165:A170"/>
    <mergeCell ref="B123:B128"/>
    <mergeCell ref="B218:B223"/>
    <mergeCell ref="A236:A241"/>
    <mergeCell ref="A338:A343"/>
    <mergeCell ref="A332:A337"/>
    <mergeCell ref="A290:A295"/>
    <mergeCell ref="B290:B295"/>
    <mergeCell ref="A230:A235"/>
    <mergeCell ref="B320:B325"/>
    <mergeCell ref="B302:B307"/>
    <mergeCell ref="B314:B319"/>
    <mergeCell ref="L90:L97"/>
    <mergeCell ref="A398:A403"/>
    <mergeCell ref="B236:B241"/>
    <mergeCell ref="A242:A247"/>
    <mergeCell ref="B242:B247"/>
    <mergeCell ref="K178:K183"/>
    <mergeCell ref="B248:B253"/>
    <mergeCell ref="B146:B151"/>
    <mergeCell ref="B362:B367"/>
    <mergeCell ref="B356:B361"/>
    <mergeCell ref="L78:L83"/>
    <mergeCell ref="L84:L89"/>
    <mergeCell ref="B98:B103"/>
    <mergeCell ref="K98:K103"/>
    <mergeCell ref="L17:L29"/>
    <mergeCell ref="L30:L35"/>
    <mergeCell ref="L36:L41"/>
    <mergeCell ref="L42:L50"/>
    <mergeCell ref="L51:L65"/>
    <mergeCell ref="L66:L71"/>
    <mergeCell ref="K17:K22"/>
    <mergeCell ref="H26:H27"/>
    <mergeCell ref="K66:K71"/>
    <mergeCell ref="K64:K65"/>
    <mergeCell ref="K72:K77"/>
    <mergeCell ref="K23:K29"/>
    <mergeCell ref="J26:J27"/>
    <mergeCell ref="I26:I27"/>
    <mergeCell ref="K30:K35"/>
    <mergeCell ref="L72:L77"/>
    <mergeCell ref="K431:K435"/>
    <mergeCell ref="A386:A391"/>
    <mergeCell ref="A17:A22"/>
    <mergeCell ref="B17:B22"/>
    <mergeCell ref="A23:A29"/>
    <mergeCell ref="B26:B29"/>
    <mergeCell ref="A30:A35"/>
    <mergeCell ref="K49:K50"/>
    <mergeCell ref="K36:K41"/>
    <mergeCell ref="A451:A456"/>
    <mergeCell ref="B451:B456"/>
    <mergeCell ref="B450:L450"/>
    <mergeCell ref="K451:K456"/>
    <mergeCell ref="A380:A385"/>
    <mergeCell ref="B380:B385"/>
    <mergeCell ref="L132:L426"/>
    <mergeCell ref="A183:A188"/>
    <mergeCell ref="B230:B235"/>
    <mergeCell ref="A133:A139"/>
    <mergeCell ref="A443:B448"/>
    <mergeCell ref="A350:A355"/>
    <mergeCell ref="B350:B355"/>
    <mergeCell ref="A344:A349"/>
    <mergeCell ref="B338:B342"/>
    <mergeCell ref="A248:A253"/>
    <mergeCell ref="B344:B349"/>
    <mergeCell ref="B430:L430"/>
    <mergeCell ref="A272:A277"/>
    <mergeCell ref="B332:B337"/>
    <mergeCell ref="A84:A89"/>
    <mergeCell ref="B84:B89"/>
    <mergeCell ref="C152:C153"/>
    <mergeCell ref="A129:L129"/>
    <mergeCell ref="A152:A158"/>
    <mergeCell ref="B152:B158"/>
    <mergeCell ref="C104:C105"/>
    <mergeCell ref="A146:A151"/>
    <mergeCell ref="B117:B122"/>
    <mergeCell ref="K84:K89"/>
    <mergeCell ref="B159:B164"/>
    <mergeCell ref="C133:C134"/>
    <mergeCell ref="A90:A97"/>
    <mergeCell ref="B90:B97"/>
    <mergeCell ref="K93:K97"/>
    <mergeCell ref="B78:B83"/>
    <mergeCell ref="A98:A103"/>
    <mergeCell ref="B104:B110"/>
    <mergeCell ref="B111:B116"/>
    <mergeCell ref="B133:B139"/>
    <mergeCell ref="B374:B379"/>
    <mergeCell ref="A374:A379"/>
    <mergeCell ref="A368:A373"/>
    <mergeCell ref="A326:A331"/>
    <mergeCell ref="B326:B331"/>
    <mergeCell ref="B368:B373"/>
    <mergeCell ref="A362:A367"/>
    <mergeCell ref="A320:A325"/>
    <mergeCell ref="A314:A319"/>
    <mergeCell ref="A205:A210"/>
    <mergeCell ref="B205:B210"/>
    <mergeCell ref="A254:A259"/>
    <mergeCell ref="B254:B259"/>
    <mergeCell ref="A302:A307"/>
    <mergeCell ref="A211:A217"/>
    <mergeCell ref="B211:B217"/>
    <mergeCell ref="B284:B289"/>
    <mergeCell ref="B272:B277"/>
    <mergeCell ref="A14:L14"/>
    <mergeCell ref="A266:A271"/>
    <mergeCell ref="B266:B271"/>
    <mergeCell ref="A260:A265"/>
    <mergeCell ref="B260:B265"/>
    <mergeCell ref="C58:C60"/>
    <mergeCell ref="K190:K192"/>
    <mergeCell ref="C51:C54"/>
    <mergeCell ref="E26:E27"/>
    <mergeCell ref="K172:K174"/>
    <mergeCell ref="F26:F27"/>
    <mergeCell ref="C26:C27"/>
    <mergeCell ref="D26:D27"/>
    <mergeCell ref="G26:G27"/>
    <mergeCell ref="K78:K83"/>
    <mergeCell ref="B36:B41"/>
    <mergeCell ref="B66:B71"/>
    <mergeCell ref="B30:B35"/>
    <mergeCell ref="C61:C62"/>
    <mergeCell ref="C63:C64"/>
    <mergeCell ref="E8:I8"/>
    <mergeCell ref="C55:C57"/>
    <mergeCell ref="I10:I12"/>
    <mergeCell ref="F11:F12"/>
    <mergeCell ref="G11:H11"/>
    <mergeCell ref="F10:H10"/>
    <mergeCell ref="B15:L15"/>
    <mergeCell ref="C42:C44"/>
    <mergeCell ref="B16:L16"/>
    <mergeCell ref="A7:L7"/>
    <mergeCell ref="A8:A12"/>
    <mergeCell ref="B8:B12"/>
    <mergeCell ref="C8:C12"/>
    <mergeCell ref="D8:D12"/>
    <mergeCell ref="J8:J12"/>
    <mergeCell ref="K8:K12"/>
    <mergeCell ref="L8:L12"/>
    <mergeCell ref="F9:I9"/>
    <mergeCell ref="E10:E12"/>
    <mergeCell ref="B195:B204"/>
    <mergeCell ref="A51:A65"/>
    <mergeCell ref="B51:B65"/>
    <mergeCell ref="A66:A71"/>
    <mergeCell ref="A78:A83"/>
    <mergeCell ref="A195:A204"/>
    <mergeCell ref="B165:B170"/>
    <mergeCell ref="A104:A110"/>
    <mergeCell ref="A111:A116"/>
    <mergeCell ref="A123:A128"/>
    <mergeCell ref="A520:B526"/>
    <mergeCell ref="B507:L507"/>
    <mergeCell ref="A487:A492"/>
    <mergeCell ref="B487:B492"/>
    <mergeCell ref="B508:B513"/>
    <mergeCell ref="A514:B519"/>
    <mergeCell ref="A392:A397"/>
    <mergeCell ref="B392:B397"/>
    <mergeCell ref="A36:A41"/>
    <mergeCell ref="A72:A77"/>
    <mergeCell ref="B72:B77"/>
    <mergeCell ref="A296:A301"/>
    <mergeCell ref="A42:A50"/>
    <mergeCell ref="B42:B50"/>
    <mergeCell ref="A224:A229"/>
    <mergeCell ref="B224:B229"/>
    <mergeCell ref="K475:K480"/>
    <mergeCell ref="B296:B301"/>
    <mergeCell ref="A278:A283"/>
    <mergeCell ref="B278:B283"/>
    <mergeCell ref="K463:K468"/>
    <mergeCell ref="B469:B474"/>
    <mergeCell ref="A284:A289"/>
    <mergeCell ref="B457:B462"/>
    <mergeCell ref="A308:A313"/>
    <mergeCell ref="B308:B313"/>
    <mergeCell ref="K242:K246"/>
    <mergeCell ref="K457:K462"/>
    <mergeCell ref="A463:A468"/>
    <mergeCell ref="B463:B468"/>
    <mergeCell ref="B398:B403"/>
    <mergeCell ref="A457:A462"/>
    <mergeCell ref="A449:K449"/>
    <mergeCell ref="B428:L428"/>
    <mergeCell ref="A416:A421"/>
    <mergeCell ref="B416:B421"/>
    <mergeCell ref="A475:A480"/>
    <mergeCell ref="A508:A513"/>
    <mergeCell ref="B475:B480"/>
    <mergeCell ref="A481:A486"/>
    <mergeCell ref="B481:B486"/>
    <mergeCell ref="K260:K264"/>
    <mergeCell ref="K290:K294"/>
    <mergeCell ref="K266:K270"/>
    <mergeCell ref="K278:K282"/>
    <mergeCell ref="K284:K288"/>
    <mergeCell ref="A469:A474"/>
    <mergeCell ref="L451:L499"/>
    <mergeCell ref="L508:L519"/>
    <mergeCell ref="K487:K492"/>
    <mergeCell ref="K481:K486"/>
    <mergeCell ref="K469:K474"/>
    <mergeCell ref="A505:J505"/>
    <mergeCell ref="A499:B504"/>
    <mergeCell ref="A493:A498"/>
    <mergeCell ref="B493:B498"/>
    <mergeCell ref="A117:A122"/>
    <mergeCell ref="A437:A442"/>
    <mergeCell ref="B437:B442"/>
    <mergeCell ref="B404:B409"/>
    <mergeCell ref="B410:B415"/>
    <mergeCell ref="A431:A436"/>
    <mergeCell ref="B431:B436"/>
    <mergeCell ref="A410:A415"/>
    <mergeCell ref="A422:B427"/>
    <mergeCell ref="A404:A409"/>
  </mergeCells>
  <printOptions/>
  <pageMargins left="0.8661417322834646" right="0.7086614173228347" top="0" bottom="0" header="0.31496062992125984" footer="0.31496062992125984"/>
  <pageSetup fitToHeight="9" fitToWidth="1" horizontalDpi="600" verticalDpi="600" orientation="landscape" paperSize="9" scale="56" r:id="rId1"/>
  <rowBreaks count="3" manualBreakCount="3">
    <brk id="54" max="255" man="1"/>
    <brk id="172" max="255" man="1"/>
    <brk id="47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zoomScalePageLayoutView="0" workbookViewId="0" topLeftCell="A56">
      <selection activeCell="O62" sqref="O62"/>
    </sheetView>
  </sheetViews>
  <sheetFormatPr defaultColWidth="9.140625" defaultRowHeight="15"/>
  <cols>
    <col min="1" max="1" width="9.140625" style="0" customWidth="1"/>
    <col min="2" max="2" width="40.8515625" style="0" customWidth="1"/>
    <col min="3" max="3" width="16.28125" style="0" customWidth="1"/>
    <col min="4" max="4" width="13.57421875" style="0" customWidth="1"/>
    <col min="5" max="5" width="8.28125" style="0" customWidth="1"/>
    <col min="6" max="6" width="0" style="0" hidden="1" customWidth="1"/>
    <col min="7" max="7" width="10.421875" style="0" customWidth="1"/>
    <col min="8" max="8" width="11.28125" style="0" customWidth="1"/>
    <col min="9" max="9" width="10.00390625" style="0" customWidth="1"/>
    <col min="10" max="10" width="0" style="0" hidden="1" customWidth="1"/>
    <col min="11" max="11" width="4.421875" style="0" hidden="1" customWidth="1"/>
    <col min="12" max="12" width="5.28125" style="0" hidden="1" customWidth="1"/>
    <col min="13" max="14" width="9.140625" style="0" hidden="1" customWidth="1"/>
    <col min="15" max="15" width="11.140625" style="0" customWidth="1"/>
    <col min="16" max="16" width="8.140625" style="0" customWidth="1"/>
    <col min="17" max="20" width="0" style="0" hidden="1" customWidth="1"/>
    <col min="21" max="21" width="21.7109375" style="0" customWidth="1"/>
    <col min="22" max="22" width="26.28125" style="0" customWidth="1"/>
  </cols>
  <sheetData>
    <row r="1" ht="14.25">
      <c r="U1" s="136"/>
    </row>
    <row r="2" spans="2:22" ht="14.25"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P2" s="199" t="s">
        <v>309</v>
      </c>
      <c r="Q2" s="199"/>
      <c r="R2" s="199"/>
      <c r="S2" s="199"/>
      <c r="T2" s="199"/>
      <c r="U2" s="199"/>
      <c r="V2" s="199"/>
    </row>
    <row r="3" spans="2:22" ht="14.25"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P3" s="346" t="s">
        <v>315</v>
      </c>
      <c r="Q3" s="346"/>
      <c r="R3" s="346"/>
      <c r="S3" s="346"/>
      <c r="T3" s="346"/>
      <c r="U3" s="346"/>
      <c r="V3" s="346"/>
    </row>
    <row r="4" spans="2:22" ht="14.25">
      <c r="B4" s="14"/>
      <c r="C4" s="14"/>
      <c r="D4" s="14"/>
      <c r="E4" s="14"/>
      <c r="F4" s="14"/>
      <c r="G4" s="16"/>
      <c r="H4" s="16"/>
      <c r="I4" s="16"/>
      <c r="J4" s="14"/>
      <c r="K4" s="199"/>
      <c r="L4" s="199"/>
      <c r="P4" s="346" t="s">
        <v>314</v>
      </c>
      <c r="Q4" s="346"/>
      <c r="R4" s="346"/>
      <c r="S4" s="346"/>
      <c r="T4" s="346"/>
      <c r="U4" s="346"/>
      <c r="V4" s="346"/>
    </row>
    <row r="5" spans="1:22" ht="14.25">
      <c r="A5" s="9"/>
      <c r="B5" s="7"/>
      <c r="C5" s="7"/>
      <c r="D5" s="7"/>
      <c r="E5" s="8"/>
      <c r="F5" s="7"/>
      <c r="G5" s="7"/>
      <c r="H5" s="7"/>
      <c r="I5" s="7"/>
      <c r="J5" s="11"/>
      <c r="K5" s="199"/>
      <c r="L5" s="19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4.25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7.25">
      <c r="A8" s="112"/>
      <c r="B8" s="112"/>
      <c r="C8" s="112"/>
      <c r="D8" s="112"/>
      <c r="E8" s="176" t="s">
        <v>245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</row>
    <row r="9" spans="1:22" ht="38.25" customHeight="1">
      <c r="A9" s="270" t="s">
        <v>0</v>
      </c>
      <c r="B9" s="306" t="s">
        <v>19</v>
      </c>
      <c r="C9" s="306" t="s">
        <v>2</v>
      </c>
      <c r="D9" s="306" t="s">
        <v>78</v>
      </c>
      <c r="E9" s="270" t="s">
        <v>5</v>
      </c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 t="s">
        <v>23</v>
      </c>
      <c r="Q9" s="33"/>
      <c r="R9" s="33"/>
      <c r="S9" s="33"/>
      <c r="T9" s="33"/>
      <c r="U9" s="306" t="s">
        <v>79</v>
      </c>
      <c r="V9" s="306" t="s">
        <v>80</v>
      </c>
    </row>
    <row r="10" spans="1:22" ht="19.5" customHeight="1">
      <c r="A10" s="270"/>
      <c r="B10" s="307"/>
      <c r="C10" s="307"/>
      <c r="D10" s="307"/>
      <c r="E10" s="270" t="s">
        <v>22</v>
      </c>
      <c r="F10" s="156"/>
      <c r="G10" s="270" t="s">
        <v>81</v>
      </c>
      <c r="H10" s="270"/>
      <c r="I10" s="270"/>
      <c r="J10" s="270"/>
      <c r="K10" s="270"/>
      <c r="L10" s="270"/>
      <c r="M10" s="270"/>
      <c r="N10" s="270"/>
      <c r="O10" s="270"/>
      <c r="P10" s="270"/>
      <c r="Q10" s="33"/>
      <c r="R10" s="33"/>
      <c r="S10" s="33"/>
      <c r="T10" s="33"/>
      <c r="U10" s="307"/>
      <c r="V10" s="307"/>
    </row>
    <row r="11" spans="1:22" ht="30" customHeight="1">
      <c r="A11" s="270"/>
      <c r="B11" s="307"/>
      <c r="C11" s="307"/>
      <c r="D11" s="307"/>
      <c r="E11" s="270"/>
      <c r="F11" s="33" t="s">
        <v>24</v>
      </c>
      <c r="G11" s="270" t="s">
        <v>24</v>
      </c>
      <c r="H11" s="270"/>
      <c r="I11" s="270"/>
      <c r="J11" s="270"/>
      <c r="K11" s="33"/>
      <c r="L11" s="33"/>
      <c r="M11" s="33"/>
      <c r="N11" s="33"/>
      <c r="O11" s="270" t="s">
        <v>25</v>
      </c>
      <c r="P11" s="270"/>
      <c r="Q11" s="33" t="s">
        <v>82</v>
      </c>
      <c r="R11" s="33"/>
      <c r="S11" s="33"/>
      <c r="T11" s="33"/>
      <c r="U11" s="307"/>
      <c r="V11" s="307"/>
    </row>
    <row r="12" spans="1:22" ht="30" customHeight="1">
      <c r="A12" s="270"/>
      <c r="B12" s="307"/>
      <c r="C12" s="307"/>
      <c r="D12" s="307"/>
      <c r="E12" s="270"/>
      <c r="F12" s="33"/>
      <c r="G12" s="270" t="s">
        <v>203</v>
      </c>
      <c r="H12" s="270" t="s">
        <v>21</v>
      </c>
      <c r="I12" s="270"/>
      <c r="J12" s="156"/>
      <c r="K12" s="33"/>
      <c r="L12" s="33"/>
      <c r="M12" s="33"/>
      <c r="N12" s="33"/>
      <c r="O12" s="270"/>
      <c r="P12" s="270"/>
      <c r="Q12" s="33"/>
      <c r="R12" s="33"/>
      <c r="S12" s="33"/>
      <c r="T12" s="33"/>
      <c r="U12" s="307"/>
      <c r="V12" s="307"/>
    </row>
    <row r="13" spans="1:22" ht="57" customHeight="1">
      <c r="A13" s="270"/>
      <c r="B13" s="308"/>
      <c r="C13" s="308"/>
      <c r="D13" s="308"/>
      <c r="E13" s="270"/>
      <c r="F13" s="33"/>
      <c r="G13" s="270"/>
      <c r="H13" s="167" t="s">
        <v>205</v>
      </c>
      <c r="I13" s="167" t="s">
        <v>207</v>
      </c>
      <c r="J13" s="33"/>
      <c r="K13" s="33"/>
      <c r="L13" s="33"/>
      <c r="M13" s="33"/>
      <c r="N13" s="33"/>
      <c r="O13" s="270"/>
      <c r="P13" s="270"/>
      <c r="Q13" s="157"/>
      <c r="R13" s="157"/>
      <c r="S13" s="157"/>
      <c r="T13" s="157"/>
      <c r="U13" s="308"/>
      <c r="V13" s="308"/>
    </row>
    <row r="14" spans="1:22" ht="14.25">
      <c r="A14" s="167">
        <v>1</v>
      </c>
      <c r="B14" s="167">
        <v>2</v>
      </c>
      <c r="C14" s="167">
        <v>3</v>
      </c>
      <c r="D14" s="167">
        <v>4</v>
      </c>
      <c r="E14" s="167">
        <v>5</v>
      </c>
      <c r="F14" s="177">
        <v>6</v>
      </c>
      <c r="G14" s="139">
        <v>6</v>
      </c>
      <c r="H14" s="139">
        <v>7</v>
      </c>
      <c r="I14" s="139">
        <v>8</v>
      </c>
      <c r="J14" s="178"/>
      <c r="K14" s="178"/>
      <c r="L14" s="178"/>
      <c r="M14" s="178"/>
      <c r="N14" s="179"/>
      <c r="O14" s="167">
        <v>9</v>
      </c>
      <c r="P14" s="167">
        <v>10</v>
      </c>
      <c r="Q14" s="312">
        <v>11</v>
      </c>
      <c r="R14" s="313"/>
      <c r="S14" s="313"/>
      <c r="T14" s="313"/>
      <c r="U14" s="314"/>
      <c r="V14" s="167">
        <v>12</v>
      </c>
    </row>
    <row r="15" spans="1:22" ht="18">
      <c r="A15" s="317" t="s">
        <v>100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</row>
    <row r="16" spans="1:22" s="10" customFormat="1" ht="27.75" customHeight="1">
      <c r="A16" s="269" t="s">
        <v>115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s="112" customFormat="1" ht="25.5" customHeight="1">
      <c r="A17" s="309" t="s">
        <v>116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1"/>
    </row>
    <row r="18" spans="1:22" s="112" customFormat="1" ht="26.25" customHeight="1">
      <c r="A18" s="306" t="s">
        <v>9</v>
      </c>
      <c r="B18" s="306" t="s">
        <v>83</v>
      </c>
      <c r="C18" s="156">
        <v>2017</v>
      </c>
      <c r="D18" s="169">
        <f>O18</f>
        <v>25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>
        <v>25</v>
      </c>
      <c r="P18" s="155"/>
      <c r="Q18" s="155"/>
      <c r="R18" s="155"/>
      <c r="S18" s="155"/>
      <c r="T18" s="155"/>
      <c r="U18" s="306" t="s">
        <v>32</v>
      </c>
      <c r="V18" s="270" t="s">
        <v>85</v>
      </c>
    </row>
    <row r="19" spans="1:22" s="112" customFormat="1" ht="26.25" customHeight="1">
      <c r="A19" s="307"/>
      <c r="B19" s="307"/>
      <c r="C19" s="156">
        <v>2018</v>
      </c>
      <c r="D19" s="169">
        <v>8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69">
        <f>8</f>
        <v>8</v>
      </c>
      <c r="P19" s="33"/>
      <c r="Q19" s="33"/>
      <c r="R19" s="33" t="s">
        <v>84</v>
      </c>
      <c r="S19" s="33"/>
      <c r="T19" s="33"/>
      <c r="U19" s="307"/>
      <c r="V19" s="270"/>
    </row>
    <row r="20" spans="1:22" s="112" customFormat="1" ht="14.25">
      <c r="A20" s="307"/>
      <c r="B20" s="307"/>
      <c r="C20" s="156">
        <v>2019</v>
      </c>
      <c r="D20" s="169">
        <f aca="true" t="shared" si="0" ref="D20:D25">O20</f>
        <v>13.5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169">
        <f>10.5+3</f>
        <v>13.5</v>
      </c>
      <c r="P20" s="33"/>
      <c r="Q20" s="33"/>
      <c r="R20" s="157"/>
      <c r="S20" s="157"/>
      <c r="T20" s="157"/>
      <c r="U20" s="307"/>
      <c r="V20" s="270"/>
    </row>
    <row r="21" spans="1:22" s="112" customFormat="1" ht="14.25">
      <c r="A21" s="307"/>
      <c r="B21" s="307"/>
      <c r="C21" s="156">
        <v>2020</v>
      </c>
      <c r="D21" s="169">
        <f t="shared" si="0"/>
        <v>15</v>
      </c>
      <c r="E21" s="37"/>
      <c r="F21" s="37"/>
      <c r="G21" s="37"/>
      <c r="H21" s="37"/>
      <c r="I21" s="37"/>
      <c r="J21" s="316"/>
      <c r="K21" s="316"/>
      <c r="L21" s="316"/>
      <c r="M21" s="316"/>
      <c r="N21" s="316"/>
      <c r="O21" s="169">
        <f>15</f>
        <v>15</v>
      </c>
      <c r="P21" s="33"/>
      <c r="Q21" s="33"/>
      <c r="R21" s="157"/>
      <c r="S21" s="157"/>
      <c r="T21" s="157"/>
      <c r="U21" s="307"/>
      <c r="V21" s="270"/>
    </row>
    <row r="22" spans="1:22" s="112" customFormat="1" ht="14.25">
      <c r="A22" s="307"/>
      <c r="B22" s="307"/>
      <c r="C22" s="156">
        <v>2021</v>
      </c>
      <c r="D22" s="169">
        <f t="shared" si="0"/>
        <v>0</v>
      </c>
      <c r="E22" s="37"/>
      <c r="F22" s="37"/>
      <c r="G22" s="37"/>
      <c r="H22" s="37"/>
      <c r="I22" s="37"/>
      <c r="J22" s="108"/>
      <c r="K22" s="108"/>
      <c r="L22" s="108"/>
      <c r="M22" s="108"/>
      <c r="N22" s="108"/>
      <c r="O22" s="169">
        <v>0</v>
      </c>
      <c r="P22" s="33"/>
      <c r="Q22" s="33"/>
      <c r="R22" s="157"/>
      <c r="S22" s="157"/>
      <c r="T22" s="157"/>
      <c r="U22" s="307"/>
      <c r="V22" s="156"/>
    </row>
    <row r="23" spans="1:22" s="112" customFormat="1" ht="14.25">
      <c r="A23" s="308"/>
      <c r="B23" s="308"/>
      <c r="C23" s="156">
        <v>2022</v>
      </c>
      <c r="D23" s="169">
        <f t="shared" si="0"/>
        <v>0</v>
      </c>
      <c r="E23" s="37"/>
      <c r="F23" s="37"/>
      <c r="G23" s="37"/>
      <c r="H23" s="37"/>
      <c r="I23" s="37"/>
      <c r="J23" s="108"/>
      <c r="K23" s="108"/>
      <c r="L23" s="108"/>
      <c r="M23" s="108"/>
      <c r="N23" s="108"/>
      <c r="O23" s="169">
        <v>0</v>
      </c>
      <c r="P23" s="33"/>
      <c r="Q23" s="33"/>
      <c r="R23" s="157"/>
      <c r="S23" s="157"/>
      <c r="T23" s="157"/>
      <c r="U23" s="308"/>
      <c r="V23" s="156"/>
    </row>
    <row r="24" spans="1:22" s="112" customFormat="1" ht="14.25" customHeight="1">
      <c r="A24" s="306">
        <v>2</v>
      </c>
      <c r="B24" s="306" t="s">
        <v>86</v>
      </c>
      <c r="C24" s="156">
        <v>2017</v>
      </c>
      <c r="D24" s="169">
        <f t="shared" si="0"/>
        <v>120</v>
      </c>
      <c r="E24" s="37"/>
      <c r="F24" s="37"/>
      <c r="G24" s="37"/>
      <c r="H24" s="37"/>
      <c r="I24" s="37"/>
      <c r="J24" s="108"/>
      <c r="K24" s="108"/>
      <c r="L24" s="108"/>
      <c r="M24" s="108"/>
      <c r="N24" s="108"/>
      <c r="O24" s="169">
        <v>120</v>
      </c>
      <c r="P24" s="33"/>
      <c r="Q24" s="33"/>
      <c r="R24" s="157"/>
      <c r="S24" s="318" t="s">
        <v>32</v>
      </c>
      <c r="T24" s="337"/>
      <c r="U24" s="319"/>
      <c r="V24" s="270" t="s">
        <v>87</v>
      </c>
    </row>
    <row r="25" spans="1:22" s="112" customFormat="1" ht="24" customHeight="1">
      <c r="A25" s="307"/>
      <c r="B25" s="307"/>
      <c r="C25" s="270">
        <v>2018</v>
      </c>
      <c r="D25" s="315">
        <f t="shared" si="0"/>
        <v>15.052</v>
      </c>
      <c r="E25" s="37"/>
      <c r="F25" s="37"/>
      <c r="G25" s="37"/>
      <c r="H25" s="37"/>
      <c r="I25" s="37"/>
      <c r="J25" s="37"/>
      <c r="K25" s="38"/>
      <c r="L25" s="38"/>
      <c r="M25" s="38"/>
      <c r="N25" s="38"/>
      <c r="O25" s="315">
        <v>15.052</v>
      </c>
      <c r="P25" s="270"/>
      <c r="Q25" s="33"/>
      <c r="R25" s="33"/>
      <c r="S25" s="320"/>
      <c r="T25" s="338"/>
      <c r="U25" s="321"/>
      <c r="V25" s="270"/>
    </row>
    <row r="26" spans="1:22" s="112" customFormat="1" ht="25.5" customHeight="1" hidden="1">
      <c r="A26" s="307"/>
      <c r="B26" s="307"/>
      <c r="C26" s="270"/>
      <c r="D26" s="315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15"/>
      <c r="P26" s="270"/>
      <c r="Q26" s="33"/>
      <c r="R26" s="33"/>
      <c r="S26" s="320"/>
      <c r="T26" s="338"/>
      <c r="U26" s="321"/>
      <c r="V26" s="270"/>
    </row>
    <row r="27" spans="1:22" s="112" customFormat="1" ht="14.25">
      <c r="A27" s="307"/>
      <c r="B27" s="307"/>
      <c r="C27" s="156">
        <v>2019</v>
      </c>
      <c r="D27" s="169">
        <f aca="true" t="shared" si="1" ref="D27:D37">O27</f>
        <v>62.5</v>
      </c>
      <c r="E27" s="37"/>
      <c r="F27" s="37"/>
      <c r="G27" s="37"/>
      <c r="H27" s="37"/>
      <c r="I27" s="37"/>
      <c r="J27" s="37"/>
      <c r="K27" s="38"/>
      <c r="L27" s="38"/>
      <c r="M27" s="38"/>
      <c r="N27" s="38"/>
      <c r="O27" s="169">
        <v>62.5</v>
      </c>
      <c r="P27" s="33"/>
      <c r="Q27" s="33"/>
      <c r="R27" s="33"/>
      <c r="S27" s="320"/>
      <c r="T27" s="338"/>
      <c r="U27" s="321"/>
      <c r="V27" s="270"/>
    </row>
    <row r="28" spans="1:22" s="112" customFormat="1" ht="33" customHeight="1">
      <c r="A28" s="307"/>
      <c r="B28" s="307"/>
      <c r="C28" s="156">
        <v>2020</v>
      </c>
      <c r="D28" s="169">
        <f t="shared" si="1"/>
        <v>40</v>
      </c>
      <c r="E28" s="37"/>
      <c r="F28" s="37"/>
      <c r="G28" s="37"/>
      <c r="H28" s="37"/>
      <c r="I28" s="37"/>
      <c r="J28" s="37"/>
      <c r="K28" s="38"/>
      <c r="L28" s="38"/>
      <c r="M28" s="38"/>
      <c r="N28" s="38"/>
      <c r="O28" s="169">
        <v>40</v>
      </c>
      <c r="P28" s="33"/>
      <c r="Q28" s="33"/>
      <c r="R28" s="33"/>
      <c r="S28" s="320"/>
      <c r="T28" s="338"/>
      <c r="U28" s="321"/>
      <c r="V28" s="270"/>
    </row>
    <row r="29" spans="1:22" s="112" customFormat="1" ht="15.75" customHeight="1">
      <c r="A29" s="307"/>
      <c r="B29" s="307"/>
      <c r="C29" s="156">
        <v>2021</v>
      </c>
      <c r="D29" s="169">
        <f t="shared" si="1"/>
        <v>25</v>
      </c>
      <c r="E29" s="37"/>
      <c r="F29" s="37"/>
      <c r="G29" s="37"/>
      <c r="H29" s="37"/>
      <c r="I29" s="37"/>
      <c r="J29" s="37"/>
      <c r="K29" s="38"/>
      <c r="L29" s="38"/>
      <c r="M29" s="38"/>
      <c r="N29" s="38"/>
      <c r="O29" s="169">
        <v>25</v>
      </c>
      <c r="P29" s="33"/>
      <c r="Q29" s="33"/>
      <c r="R29" s="33"/>
      <c r="S29" s="320"/>
      <c r="T29" s="338"/>
      <c r="U29" s="321"/>
      <c r="V29" s="156"/>
    </row>
    <row r="30" spans="1:22" s="112" customFormat="1" ht="15.75" customHeight="1">
      <c r="A30" s="308"/>
      <c r="B30" s="308"/>
      <c r="C30" s="156">
        <v>2022</v>
      </c>
      <c r="D30" s="169">
        <f>O30</f>
        <v>25</v>
      </c>
      <c r="E30" s="37"/>
      <c r="F30" s="37"/>
      <c r="G30" s="37"/>
      <c r="H30" s="37"/>
      <c r="I30" s="37"/>
      <c r="J30" s="37"/>
      <c r="K30" s="38"/>
      <c r="L30" s="38"/>
      <c r="M30" s="38"/>
      <c r="N30" s="38"/>
      <c r="O30" s="169">
        <v>25</v>
      </c>
      <c r="P30" s="33"/>
      <c r="Q30" s="33"/>
      <c r="R30" s="33"/>
      <c r="S30" s="322"/>
      <c r="T30" s="339"/>
      <c r="U30" s="323"/>
      <c r="V30" s="156"/>
    </row>
    <row r="31" spans="1:22" s="112" customFormat="1" ht="21" customHeight="1">
      <c r="A31" s="306">
        <v>3</v>
      </c>
      <c r="B31" s="306" t="s">
        <v>88</v>
      </c>
      <c r="C31" s="156">
        <v>2017</v>
      </c>
      <c r="D31" s="169">
        <f t="shared" si="1"/>
        <v>40</v>
      </c>
      <c r="E31" s="169"/>
      <c r="F31" s="169"/>
      <c r="G31" s="169"/>
      <c r="H31" s="169"/>
      <c r="I31" s="169"/>
      <c r="J31" s="169"/>
      <c r="K31" s="38"/>
      <c r="L31" s="38"/>
      <c r="M31" s="38"/>
      <c r="N31" s="38"/>
      <c r="O31" s="169">
        <v>40</v>
      </c>
      <c r="P31" s="33"/>
      <c r="Q31" s="33"/>
      <c r="R31" s="33"/>
      <c r="S31" s="156"/>
      <c r="T31" s="318" t="s">
        <v>32</v>
      </c>
      <c r="U31" s="319"/>
      <c r="V31" s="270" t="s">
        <v>89</v>
      </c>
    </row>
    <row r="32" spans="1:22" s="112" customFormat="1" ht="14.25" customHeight="1">
      <c r="A32" s="307"/>
      <c r="B32" s="307"/>
      <c r="C32" s="156">
        <v>2018</v>
      </c>
      <c r="D32" s="39">
        <f t="shared" si="1"/>
        <v>180.648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39">
        <f>180.648</f>
        <v>180.648</v>
      </c>
      <c r="P32" s="33"/>
      <c r="Q32" s="33"/>
      <c r="R32" s="33"/>
      <c r="S32" s="33"/>
      <c r="T32" s="320"/>
      <c r="U32" s="321"/>
      <c r="V32" s="270"/>
    </row>
    <row r="33" spans="1:22" s="112" customFormat="1" ht="21" customHeight="1">
      <c r="A33" s="307"/>
      <c r="B33" s="307"/>
      <c r="C33" s="35">
        <v>2019</v>
      </c>
      <c r="D33" s="39">
        <f t="shared" si="1"/>
        <v>157.535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39">
        <f>160.436-2.901</f>
        <v>157.535</v>
      </c>
      <c r="P33" s="33"/>
      <c r="Q33" s="33"/>
      <c r="R33" s="33"/>
      <c r="S33" s="33"/>
      <c r="T33" s="320"/>
      <c r="U33" s="321"/>
      <c r="V33" s="270"/>
    </row>
    <row r="34" spans="1:22" s="112" customFormat="1" ht="24" customHeight="1">
      <c r="A34" s="307"/>
      <c r="B34" s="307"/>
      <c r="C34" s="35">
        <v>2020</v>
      </c>
      <c r="D34" s="39">
        <f t="shared" si="1"/>
        <v>150</v>
      </c>
      <c r="E34" s="40"/>
      <c r="F34" s="40"/>
      <c r="G34" s="40"/>
      <c r="H34" s="40"/>
      <c r="I34" s="40"/>
      <c r="J34" s="40"/>
      <c r="K34" s="41"/>
      <c r="L34" s="41"/>
      <c r="M34" s="41"/>
      <c r="N34" s="41"/>
      <c r="O34" s="39">
        <v>150</v>
      </c>
      <c r="P34" s="33"/>
      <c r="Q34" s="33"/>
      <c r="R34" s="33"/>
      <c r="S34" s="33"/>
      <c r="T34" s="320"/>
      <c r="U34" s="321"/>
      <c r="V34" s="270"/>
    </row>
    <row r="35" spans="1:22" s="112" customFormat="1" ht="20.25" customHeight="1">
      <c r="A35" s="307"/>
      <c r="B35" s="307"/>
      <c r="C35" s="35">
        <v>2021</v>
      </c>
      <c r="D35" s="39">
        <f t="shared" si="1"/>
        <v>0</v>
      </c>
      <c r="E35" s="40"/>
      <c r="F35" s="40"/>
      <c r="G35" s="40"/>
      <c r="H35" s="40"/>
      <c r="I35" s="40"/>
      <c r="J35" s="40"/>
      <c r="K35" s="41"/>
      <c r="L35" s="41"/>
      <c r="M35" s="41"/>
      <c r="N35" s="41"/>
      <c r="O35" s="39">
        <v>0</v>
      </c>
      <c r="P35" s="33"/>
      <c r="Q35" s="33"/>
      <c r="R35" s="33"/>
      <c r="S35" s="33"/>
      <c r="T35" s="320"/>
      <c r="U35" s="321"/>
      <c r="V35" s="156"/>
    </row>
    <row r="36" spans="1:22" s="112" customFormat="1" ht="20.25" customHeight="1">
      <c r="A36" s="308"/>
      <c r="B36" s="308"/>
      <c r="C36" s="35">
        <v>2022</v>
      </c>
      <c r="D36" s="39">
        <f>O36</f>
        <v>0</v>
      </c>
      <c r="E36" s="40"/>
      <c r="F36" s="40"/>
      <c r="G36" s="40"/>
      <c r="H36" s="40"/>
      <c r="I36" s="40"/>
      <c r="J36" s="40"/>
      <c r="K36" s="41"/>
      <c r="L36" s="41"/>
      <c r="M36" s="41"/>
      <c r="N36" s="41"/>
      <c r="O36" s="39">
        <v>0</v>
      </c>
      <c r="P36" s="33"/>
      <c r="Q36" s="33"/>
      <c r="R36" s="33"/>
      <c r="S36" s="33"/>
      <c r="T36" s="322"/>
      <c r="U36" s="323"/>
      <c r="V36" s="156"/>
    </row>
    <row r="37" spans="1:22" s="112" customFormat="1" ht="24" customHeight="1">
      <c r="A37" s="306" t="s">
        <v>48</v>
      </c>
      <c r="B37" s="340" t="s">
        <v>90</v>
      </c>
      <c r="C37" s="35">
        <v>2017</v>
      </c>
      <c r="D37" s="39">
        <f t="shared" si="1"/>
        <v>163.5</v>
      </c>
      <c r="E37" s="40"/>
      <c r="F37" s="40"/>
      <c r="G37" s="40"/>
      <c r="H37" s="40"/>
      <c r="I37" s="40"/>
      <c r="J37" s="40"/>
      <c r="K37" s="41"/>
      <c r="L37" s="41"/>
      <c r="M37" s="41"/>
      <c r="N37" s="41"/>
      <c r="O37" s="39">
        <v>163.5</v>
      </c>
      <c r="P37" s="33"/>
      <c r="Q37" s="33"/>
      <c r="R37" s="33"/>
      <c r="S37" s="33"/>
      <c r="T37" s="156"/>
      <c r="U37" s="306" t="s">
        <v>32</v>
      </c>
      <c r="V37" s="270" t="s">
        <v>91</v>
      </c>
    </row>
    <row r="38" spans="1:22" s="112" customFormat="1" ht="28.5" customHeight="1">
      <c r="A38" s="307"/>
      <c r="B38" s="341"/>
      <c r="C38" s="156">
        <v>2018</v>
      </c>
      <c r="D38" s="169">
        <f aca="true" t="shared" si="2" ref="D38:D43">O38</f>
        <v>144.8</v>
      </c>
      <c r="E38" s="37"/>
      <c r="F38" s="37"/>
      <c r="G38" s="37"/>
      <c r="H38" s="37"/>
      <c r="I38" s="37"/>
      <c r="J38" s="37"/>
      <c r="K38" s="315"/>
      <c r="L38" s="315"/>
      <c r="M38" s="315"/>
      <c r="N38" s="315"/>
      <c r="O38" s="169">
        <f>144.8</f>
        <v>144.8</v>
      </c>
      <c r="P38" s="33"/>
      <c r="Q38" s="33"/>
      <c r="R38" s="33"/>
      <c r="S38" s="33"/>
      <c r="T38" s="33"/>
      <c r="U38" s="307"/>
      <c r="V38" s="270"/>
    </row>
    <row r="39" spans="1:22" s="112" customFormat="1" ht="14.25">
      <c r="A39" s="307"/>
      <c r="B39" s="341"/>
      <c r="C39" s="156">
        <v>2019</v>
      </c>
      <c r="D39" s="169">
        <f t="shared" si="2"/>
        <v>166.465</v>
      </c>
      <c r="E39" s="37"/>
      <c r="F39" s="37"/>
      <c r="G39" s="37"/>
      <c r="H39" s="37"/>
      <c r="I39" s="37"/>
      <c r="J39" s="37"/>
      <c r="K39" s="315"/>
      <c r="L39" s="315"/>
      <c r="M39" s="315"/>
      <c r="N39" s="315"/>
      <c r="O39" s="169">
        <v>166.465</v>
      </c>
      <c r="P39" s="33"/>
      <c r="Q39" s="33"/>
      <c r="R39" s="33"/>
      <c r="S39" s="33"/>
      <c r="T39" s="33"/>
      <c r="U39" s="307"/>
      <c r="V39" s="270"/>
    </row>
    <row r="40" spans="1:22" s="112" customFormat="1" ht="18.75" customHeight="1">
      <c r="A40" s="307"/>
      <c r="B40" s="341"/>
      <c r="C40" s="156">
        <v>2020</v>
      </c>
      <c r="D40" s="169">
        <f t="shared" si="2"/>
        <v>180</v>
      </c>
      <c r="E40" s="37"/>
      <c r="F40" s="37"/>
      <c r="G40" s="37"/>
      <c r="H40" s="37"/>
      <c r="I40" s="37"/>
      <c r="J40" s="37"/>
      <c r="K40" s="315"/>
      <c r="L40" s="315"/>
      <c r="M40" s="315"/>
      <c r="N40" s="315"/>
      <c r="O40" s="169">
        <v>180</v>
      </c>
      <c r="P40" s="33"/>
      <c r="Q40" s="33"/>
      <c r="R40" s="33"/>
      <c r="S40" s="33"/>
      <c r="T40" s="33"/>
      <c r="U40" s="307"/>
      <c r="V40" s="270"/>
    </row>
    <row r="41" spans="1:22" s="112" customFormat="1" ht="18.75" customHeight="1">
      <c r="A41" s="307"/>
      <c r="B41" s="341"/>
      <c r="C41" s="156">
        <v>2021</v>
      </c>
      <c r="D41" s="169">
        <f t="shared" si="2"/>
        <v>0</v>
      </c>
      <c r="E41" s="37"/>
      <c r="F41" s="37"/>
      <c r="G41" s="37"/>
      <c r="H41" s="37"/>
      <c r="I41" s="37"/>
      <c r="J41" s="37"/>
      <c r="K41" s="169"/>
      <c r="L41" s="169"/>
      <c r="M41" s="169"/>
      <c r="N41" s="169"/>
      <c r="O41" s="169">
        <v>0</v>
      </c>
      <c r="P41" s="33"/>
      <c r="Q41" s="33"/>
      <c r="R41" s="33"/>
      <c r="S41" s="33"/>
      <c r="T41" s="33"/>
      <c r="U41" s="307"/>
      <c r="V41" s="156"/>
    </row>
    <row r="42" spans="1:22" s="112" customFormat="1" ht="18.75" customHeight="1">
      <c r="A42" s="308"/>
      <c r="B42" s="342"/>
      <c r="C42" s="156">
        <v>2022</v>
      </c>
      <c r="D42" s="169">
        <f t="shared" si="2"/>
        <v>0</v>
      </c>
      <c r="E42" s="37"/>
      <c r="F42" s="37"/>
      <c r="G42" s="37"/>
      <c r="H42" s="37"/>
      <c r="I42" s="37"/>
      <c r="J42" s="37"/>
      <c r="K42" s="169"/>
      <c r="L42" s="169"/>
      <c r="M42" s="169"/>
      <c r="N42" s="169"/>
      <c r="O42" s="169">
        <v>0</v>
      </c>
      <c r="P42" s="33"/>
      <c r="Q42" s="33"/>
      <c r="R42" s="33"/>
      <c r="S42" s="33"/>
      <c r="T42" s="33"/>
      <c r="U42" s="308"/>
      <c r="V42" s="156"/>
    </row>
    <row r="43" spans="1:22" s="112" customFormat="1" ht="18.75" customHeight="1">
      <c r="A43" s="306" t="s">
        <v>53</v>
      </c>
      <c r="B43" s="306" t="s">
        <v>92</v>
      </c>
      <c r="C43" s="156">
        <v>2017</v>
      </c>
      <c r="D43" s="169">
        <f t="shared" si="2"/>
        <v>10</v>
      </c>
      <c r="E43" s="37"/>
      <c r="F43" s="37"/>
      <c r="G43" s="37"/>
      <c r="H43" s="37"/>
      <c r="I43" s="37"/>
      <c r="J43" s="37"/>
      <c r="K43" s="169"/>
      <c r="L43" s="169"/>
      <c r="M43" s="169"/>
      <c r="N43" s="169"/>
      <c r="O43" s="169">
        <v>10</v>
      </c>
      <c r="P43" s="33"/>
      <c r="Q43" s="33"/>
      <c r="R43" s="33"/>
      <c r="S43" s="33"/>
      <c r="T43" s="33"/>
      <c r="U43" s="306" t="s">
        <v>32</v>
      </c>
      <c r="V43" s="270" t="s">
        <v>93</v>
      </c>
    </row>
    <row r="44" spans="1:22" s="112" customFormat="1" ht="16.5" customHeight="1">
      <c r="A44" s="307"/>
      <c r="B44" s="307"/>
      <c r="C44" s="156">
        <v>2018</v>
      </c>
      <c r="D44" s="169">
        <v>10</v>
      </c>
      <c r="E44" s="37"/>
      <c r="F44" s="37"/>
      <c r="G44" s="37"/>
      <c r="H44" s="37"/>
      <c r="I44" s="37"/>
      <c r="J44" s="37"/>
      <c r="K44" s="37"/>
      <c r="L44" s="315"/>
      <c r="M44" s="315"/>
      <c r="N44" s="315"/>
      <c r="O44" s="169">
        <v>10</v>
      </c>
      <c r="P44" s="270"/>
      <c r="Q44" s="270"/>
      <c r="R44" s="270"/>
      <c r="S44" s="270"/>
      <c r="T44" s="270"/>
      <c r="U44" s="307"/>
      <c r="V44" s="270"/>
    </row>
    <row r="45" spans="1:22" s="112" customFormat="1" ht="14.25">
      <c r="A45" s="307"/>
      <c r="B45" s="307"/>
      <c r="C45" s="156">
        <v>2019</v>
      </c>
      <c r="D45" s="169">
        <f>O45</f>
        <v>0</v>
      </c>
      <c r="E45" s="37"/>
      <c r="F45" s="37"/>
      <c r="G45" s="37"/>
      <c r="H45" s="37"/>
      <c r="I45" s="37"/>
      <c r="J45" s="37"/>
      <c r="K45" s="37"/>
      <c r="L45" s="315"/>
      <c r="M45" s="315"/>
      <c r="N45" s="315"/>
      <c r="O45" s="169">
        <v>0</v>
      </c>
      <c r="P45" s="270"/>
      <c r="Q45" s="270"/>
      <c r="R45" s="270"/>
      <c r="S45" s="270"/>
      <c r="T45" s="270"/>
      <c r="U45" s="307"/>
      <c r="V45" s="270"/>
    </row>
    <row r="46" spans="1:22" s="112" customFormat="1" ht="21" customHeight="1">
      <c r="A46" s="307"/>
      <c r="B46" s="307"/>
      <c r="C46" s="156">
        <v>2020</v>
      </c>
      <c r="D46" s="169">
        <v>15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169">
        <v>15</v>
      </c>
      <c r="P46" s="270"/>
      <c r="Q46" s="270"/>
      <c r="R46" s="270"/>
      <c r="S46" s="270"/>
      <c r="T46" s="270"/>
      <c r="U46" s="307"/>
      <c r="V46" s="270"/>
    </row>
    <row r="47" spans="1:22" s="112" customFormat="1" ht="21" customHeight="1">
      <c r="A47" s="307"/>
      <c r="B47" s="307"/>
      <c r="C47" s="156">
        <v>2021</v>
      </c>
      <c r="D47" s="169">
        <f>O47</f>
        <v>0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169">
        <v>0</v>
      </c>
      <c r="P47" s="156"/>
      <c r="Q47" s="156"/>
      <c r="R47" s="156"/>
      <c r="S47" s="156"/>
      <c r="T47" s="156"/>
      <c r="U47" s="307"/>
      <c r="V47" s="156"/>
    </row>
    <row r="48" spans="1:22" s="112" customFormat="1" ht="21" customHeight="1">
      <c r="A48" s="308"/>
      <c r="B48" s="308"/>
      <c r="C48" s="156">
        <v>2022</v>
      </c>
      <c r="D48" s="169">
        <f>O48</f>
        <v>0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169">
        <v>0</v>
      </c>
      <c r="P48" s="156"/>
      <c r="Q48" s="156"/>
      <c r="R48" s="156"/>
      <c r="S48" s="156"/>
      <c r="T48" s="156"/>
      <c r="U48" s="308"/>
      <c r="V48" s="156"/>
    </row>
    <row r="49" spans="1:22" s="112" customFormat="1" ht="21" customHeight="1">
      <c r="A49" s="306"/>
      <c r="B49" s="334" t="s">
        <v>201</v>
      </c>
      <c r="C49" s="34">
        <v>2017</v>
      </c>
      <c r="D49" s="42">
        <f>O49</f>
        <v>358.5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42">
        <f>O43+O37+O31+O24+O18+O59</f>
        <v>358.5</v>
      </c>
      <c r="P49" s="156"/>
      <c r="Q49" s="156"/>
      <c r="R49" s="156"/>
      <c r="S49" s="156"/>
      <c r="T49" s="156"/>
      <c r="U49" s="156"/>
      <c r="V49" s="156"/>
    </row>
    <row r="50" spans="1:22" s="112" customFormat="1" ht="21" customHeight="1">
      <c r="A50" s="307"/>
      <c r="B50" s="335"/>
      <c r="C50" s="34">
        <v>2018</v>
      </c>
      <c r="D50" s="42">
        <f>SUM(E50:O50)</f>
        <v>358.5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2">
        <f>SUM(O19+O25+O32+O38+O44+O60)</f>
        <v>358.5</v>
      </c>
      <c r="P50" s="156"/>
      <c r="Q50" s="156"/>
      <c r="R50" s="156"/>
      <c r="S50" s="156"/>
      <c r="T50" s="156"/>
      <c r="U50" s="156"/>
      <c r="V50" s="156"/>
    </row>
    <row r="51" spans="1:22" s="112" customFormat="1" ht="21" customHeight="1">
      <c r="A51" s="307"/>
      <c r="B51" s="335"/>
      <c r="C51" s="34">
        <v>2019</v>
      </c>
      <c r="D51" s="42">
        <f>D45+D39+D33+D27+D20</f>
        <v>400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2">
        <f>SUM(O20+O27+O33+O39+O45)</f>
        <v>400</v>
      </c>
      <c r="P51" s="156"/>
      <c r="Q51" s="156"/>
      <c r="R51" s="156"/>
      <c r="S51" s="156"/>
      <c r="T51" s="156"/>
      <c r="U51" s="156"/>
      <c r="V51" s="156"/>
    </row>
    <row r="52" spans="1:22" s="112" customFormat="1" ht="21" customHeight="1">
      <c r="A52" s="307"/>
      <c r="B52" s="335"/>
      <c r="C52" s="34">
        <v>2020</v>
      </c>
      <c r="D52" s="42">
        <f>SUM(E52:O52)</f>
        <v>400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2">
        <f>O46+O40+O34+O28+O21</f>
        <v>400</v>
      </c>
      <c r="P52" s="156"/>
      <c r="Q52" s="156"/>
      <c r="R52" s="156"/>
      <c r="S52" s="156"/>
      <c r="T52" s="156"/>
      <c r="U52" s="156"/>
      <c r="V52" s="156"/>
    </row>
    <row r="53" spans="1:22" s="112" customFormat="1" ht="21" customHeight="1">
      <c r="A53" s="307"/>
      <c r="B53" s="335"/>
      <c r="C53" s="34">
        <v>2021</v>
      </c>
      <c r="D53" s="42">
        <f>O53</f>
        <v>25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2">
        <f>O47+O41+O35+O29+O22</f>
        <v>25</v>
      </c>
      <c r="P53" s="156"/>
      <c r="Q53" s="156"/>
      <c r="R53" s="156"/>
      <c r="S53" s="156"/>
      <c r="T53" s="156"/>
      <c r="U53" s="156"/>
      <c r="V53" s="156"/>
    </row>
    <row r="54" spans="1:22" s="112" customFormat="1" ht="21" customHeight="1">
      <c r="A54" s="308"/>
      <c r="B54" s="336"/>
      <c r="C54" s="34">
        <v>2022</v>
      </c>
      <c r="D54" s="42">
        <f>O54</f>
        <v>25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2">
        <f>O48+O42+O36+O30+O23</f>
        <v>25</v>
      </c>
      <c r="P54" s="156"/>
      <c r="Q54" s="156"/>
      <c r="R54" s="156"/>
      <c r="S54" s="156"/>
      <c r="T54" s="156"/>
      <c r="U54" s="156"/>
      <c r="V54" s="156"/>
    </row>
    <row r="55" spans="1:22" s="112" customFormat="1" ht="19.5" customHeight="1">
      <c r="A55" s="156"/>
      <c r="B55" s="34"/>
      <c r="C55" s="44" t="s">
        <v>294</v>
      </c>
      <c r="D55" s="42">
        <f>SUM(D49:D54)</f>
        <v>1567</v>
      </c>
      <c r="E55" s="45">
        <f>SUM(E50:E52)</f>
        <v>0</v>
      </c>
      <c r="F55" s="46"/>
      <c r="G55" s="46"/>
      <c r="H55" s="46"/>
      <c r="I55" s="46"/>
      <c r="J55" s="46"/>
      <c r="K55" s="46"/>
      <c r="L55" s="46"/>
      <c r="M55" s="46"/>
      <c r="N55" s="42">
        <v>430</v>
      </c>
      <c r="O55" s="45">
        <f>SUM(O49:O54)</f>
        <v>1567</v>
      </c>
      <c r="P55" s="47"/>
      <c r="Q55" s="47"/>
      <c r="R55" s="47"/>
      <c r="S55" s="47"/>
      <c r="T55" s="47"/>
      <c r="U55" s="47"/>
      <c r="V55" s="44"/>
    </row>
    <row r="56" spans="1:22" s="112" customFormat="1" ht="18.75" customHeight="1">
      <c r="A56" s="332" t="s">
        <v>96</v>
      </c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</row>
    <row r="57" spans="1:22" s="112" customFormat="1" ht="33" customHeight="1">
      <c r="A57" s="324" t="s">
        <v>190</v>
      </c>
      <c r="B57" s="326" t="s">
        <v>191</v>
      </c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8"/>
    </row>
    <row r="58" spans="1:22" s="112" customFormat="1" ht="18" customHeight="1" hidden="1">
      <c r="A58" s="325"/>
      <c r="B58" s="329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1"/>
    </row>
    <row r="59" spans="1:22" s="112" customFormat="1" ht="33" customHeight="1">
      <c r="A59" s="306" t="s">
        <v>9</v>
      </c>
      <c r="B59" s="306" t="s">
        <v>232</v>
      </c>
      <c r="C59" s="35">
        <v>2017</v>
      </c>
      <c r="D59" s="39">
        <f>O59</f>
        <v>0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39">
        <v>0</v>
      </c>
      <c r="P59" s="156"/>
      <c r="Q59" s="156"/>
      <c r="R59" s="156"/>
      <c r="S59" s="156"/>
      <c r="T59" s="156"/>
      <c r="U59" s="305" t="s">
        <v>244</v>
      </c>
      <c r="V59" s="270" t="s">
        <v>307</v>
      </c>
    </row>
    <row r="60" spans="1:22" s="112" customFormat="1" ht="14.25">
      <c r="A60" s="307"/>
      <c r="B60" s="307"/>
      <c r="C60" s="35">
        <v>2018</v>
      </c>
      <c r="D60" s="39">
        <f>O60</f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8">
        <v>0</v>
      </c>
      <c r="P60" s="156"/>
      <c r="Q60" s="156"/>
      <c r="R60" s="156"/>
      <c r="S60" s="156"/>
      <c r="T60" s="156"/>
      <c r="U60" s="305"/>
      <c r="V60" s="270"/>
    </row>
    <row r="61" spans="1:22" s="112" customFormat="1" ht="14.25">
      <c r="A61" s="307"/>
      <c r="B61" s="307"/>
      <c r="C61" s="35">
        <v>2019</v>
      </c>
      <c r="D61" s="39">
        <f>I61+O61+H61</f>
        <v>4643.849999999999</v>
      </c>
      <c r="E61" s="40"/>
      <c r="F61" s="40">
        <v>5000</v>
      </c>
      <c r="G61" s="40">
        <f>H61</f>
        <v>4407.4</v>
      </c>
      <c r="H61" s="40">
        <v>4407.4</v>
      </c>
      <c r="I61" s="39">
        <v>0</v>
      </c>
      <c r="J61" s="40"/>
      <c r="K61" s="40"/>
      <c r="L61" s="40"/>
      <c r="M61" s="40"/>
      <c r="N61" s="40"/>
      <c r="O61" s="49">
        <f>4.5+231.95</f>
        <v>236.45</v>
      </c>
      <c r="P61" s="156"/>
      <c r="Q61" s="156"/>
      <c r="R61" s="156"/>
      <c r="S61" s="156"/>
      <c r="T61" s="156"/>
      <c r="U61" s="305"/>
      <c r="V61" s="270"/>
    </row>
    <row r="62" spans="1:22" s="112" customFormat="1" ht="14.25" customHeight="1">
      <c r="A62" s="307"/>
      <c r="B62" s="307"/>
      <c r="C62" s="35">
        <v>2020</v>
      </c>
      <c r="D62" s="39">
        <f>I62+O62</f>
        <v>0</v>
      </c>
      <c r="E62" s="40"/>
      <c r="F62" s="40">
        <v>4000</v>
      </c>
      <c r="G62" s="40"/>
      <c r="H62" s="40"/>
      <c r="I62" s="39">
        <v>0</v>
      </c>
      <c r="J62" s="40"/>
      <c r="K62" s="40"/>
      <c r="L62" s="40"/>
      <c r="M62" s="40"/>
      <c r="N62" s="40"/>
      <c r="O62" s="49">
        <v>0</v>
      </c>
      <c r="P62" s="156"/>
      <c r="Q62" s="156"/>
      <c r="R62" s="156"/>
      <c r="S62" s="156"/>
      <c r="T62" s="156"/>
      <c r="U62" s="305"/>
      <c r="V62" s="270"/>
    </row>
    <row r="63" spans="1:22" s="112" customFormat="1" ht="14.25" customHeight="1">
      <c r="A63" s="307"/>
      <c r="B63" s="307"/>
      <c r="C63" s="35">
        <v>2021</v>
      </c>
      <c r="D63" s="39">
        <f>I63</f>
        <v>0</v>
      </c>
      <c r="E63" s="40"/>
      <c r="F63" s="40"/>
      <c r="G63" s="40"/>
      <c r="H63" s="40"/>
      <c r="I63" s="39">
        <v>0</v>
      </c>
      <c r="J63" s="40"/>
      <c r="K63" s="40"/>
      <c r="L63" s="40"/>
      <c r="M63" s="40"/>
      <c r="N63" s="40"/>
      <c r="O63" s="49">
        <v>0</v>
      </c>
      <c r="P63" s="156"/>
      <c r="Q63" s="156"/>
      <c r="R63" s="156"/>
      <c r="S63" s="156"/>
      <c r="T63" s="156"/>
      <c r="U63" s="305"/>
      <c r="V63" s="270"/>
    </row>
    <row r="64" spans="1:22" s="112" customFormat="1" ht="14.25" customHeight="1">
      <c r="A64" s="308"/>
      <c r="B64" s="308"/>
      <c r="C64" s="35">
        <v>2022</v>
      </c>
      <c r="D64" s="39">
        <f>O64</f>
        <v>0</v>
      </c>
      <c r="E64" s="40"/>
      <c r="F64" s="40"/>
      <c r="G64" s="40"/>
      <c r="H64" s="40"/>
      <c r="I64" s="39"/>
      <c r="J64" s="40"/>
      <c r="K64" s="40"/>
      <c r="L64" s="40"/>
      <c r="M64" s="40"/>
      <c r="N64" s="40"/>
      <c r="O64" s="49">
        <v>0</v>
      </c>
      <c r="P64" s="156"/>
      <c r="Q64" s="156"/>
      <c r="R64" s="156"/>
      <c r="S64" s="156"/>
      <c r="T64" s="156"/>
      <c r="U64" s="305"/>
      <c r="V64" s="270"/>
    </row>
    <row r="65" spans="1:22" s="112" customFormat="1" ht="14.25" customHeight="1">
      <c r="A65" s="306" t="s">
        <v>117</v>
      </c>
      <c r="B65" s="306" t="s">
        <v>199</v>
      </c>
      <c r="C65" s="35">
        <v>2017</v>
      </c>
      <c r="D65" s="39">
        <f>O65</f>
        <v>0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39">
        <v>0</v>
      </c>
      <c r="P65" s="156"/>
      <c r="Q65" s="156"/>
      <c r="R65" s="156"/>
      <c r="S65" s="156"/>
      <c r="T65" s="156"/>
      <c r="U65" s="305"/>
      <c r="V65" s="270"/>
    </row>
    <row r="66" spans="1:22" s="112" customFormat="1" ht="14.25" customHeight="1">
      <c r="A66" s="307"/>
      <c r="B66" s="307"/>
      <c r="C66" s="35">
        <v>2018</v>
      </c>
      <c r="D66" s="39">
        <f>O66</f>
        <v>70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39">
        <v>70</v>
      </c>
      <c r="P66" s="156"/>
      <c r="Q66" s="156"/>
      <c r="R66" s="156"/>
      <c r="S66" s="156"/>
      <c r="T66" s="156"/>
      <c r="U66" s="305"/>
      <c r="V66" s="270"/>
    </row>
    <row r="67" spans="1:22" s="112" customFormat="1" ht="14.25" customHeight="1">
      <c r="A67" s="307"/>
      <c r="B67" s="307"/>
      <c r="C67" s="35">
        <v>2019</v>
      </c>
      <c r="D67" s="39">
        <f>O67</f>
        <v>0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39">
        <v>0</v>
      </c>
      <c r="P67" s="156"/>
      <c r="Q67" s="156"/>
      <c r="R67" s="156"/>
      <c r="S67" s="156"/>
      <c r="T67" s="156"/>
      <c r="U67" s="305"/>
      <c r="V67" s="270"/>
    </row>
    <row r="68" spans="1:22" s="112" customFormat="1" ht="21.75" customHeight="1">
      <c r="A68" s="307"/>
      <c r="B68" s="307"/>
      <c r="C68" s="35">
        <v>2020</v>
      </c>
      <c r="D68" s="39">
        <f>O68</f>
        <v>0</v>
      </c>
      <c r="E68" s="40"/>
      <c r="F68" s="40"/>
      <c r="G68" s="40"/>
      <c r="H68" s="40"/>
      <c r="I68" s="40">
        <v>0</v>
      </c>
      <c r="J68" s="40"/>
      <c r="K68" s="40"/>
      <c r="L68" s="40"/>
      <c r="M68" s="40"/>
      <c r="N68" s="40"/>
      <c r="O68" s="39">
        <v>0</v>
      </c>
      <c r="P68" s="156"/>
      <c r="Q68" s="156"/>
      <c r="R68" s="156"/>
      <c r="S68" s="156"/>
      <c r="T68" s="156"/>
      <c r="U68" s="305"/>
      <c r="V68" s="270"/>
    </row>
    <row r="69" spans="1:22" s="112" customFormat="1" ht="21.75" customHeight="1">
      <c r="A69" s="307"/>
      <c r="B69" s="307"/>
      <c r="C69" s="35">
        <v>2021</v>
      </c>
      <c r="D69" s="39">
        <f>I69</f>
        <v>0</v>
      </c>
      <c r="E69" s="40"/>
      <c r="F69" s="40"/>
      <c r="G69" s="40"/>
      <c r="H69" s="40"/>
      <c r="I69" s="40">
        <v>0</v>
      </c>
      <c r="J69" s="40"/>
      <c r="K69" s="40"/>
      <c r="L69" s="40"/>
      <c r="M69" s="40"/>
      <c r="N69" s="40"/>
      <c r="O69" s="39">
        <v>0</v>
      </c>
      <c r="P69" s="156"/>
      <c r="Q69" s="156"/>
      <c r="R69" s="156"/>
      <c r="S69" s="156"/>
      <c r="T69" s="156"/>
      <c r="U69" s="305"/>
      <c r="V69" s="270"/>
    </row>
    <row r="70" spans="1:22" s="112" customFormat="1" ht="21.75" customHeight="1">
      <c r="A70" s="308"/>
      <c r="B70" s="308"/>
      <c r="C70" s="35">
        <v>2022</v>
      </c>
      <c r="D70" s="39">
        <f>O70</f>
        <v>0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39">
        <v>0</v>
      </c>
      <c r="P70" s="156"/>
      <c r="Q70" s="156"/>
      <c r="R70" s="156"/>
      <c r="S70" s="156"/>
      <c r="T70" s="156"/>
      <c r="U70" s="305"/>
      <c r="V70" s="270"/>
    </row>
    <row r="71" spans="1:22" s="112" customFormat="1" ht="21.75" customHeight="1">
      <c r="A71" s="306" t="s">
        <v>123</v>
      </c>
      <c r="B71" s="306" t="s">
        <v>302</v>
      </c>
      <c r="C71" s="35">
        <v>2017</v>
      </c>
      <c r="D71" s="39">
        <f>O71</f>
        <v>0</v>
      </c>
      <c r="E71" s="40"/>
      <c r="F71" s="40"/>
      <c r="G71" s="40"/>
      <c r="H71" s="40"/>
      <c r="I71" s="40">
        <v>0</v>
      </c>
      <c r="J71" s="40"/>
      <c r="K71" s="40"/>
      <c r="L71" s="40"/>
      <c r="M71" s="40"/>
      <c r="N71" s="40"/>
      <c r="O71" s="39">
        <v>0</v>
      </c>
      <c r="P71" s="156"/>
      <c r="Q71" s="156"/>
      <c r="R71" s="156"/>
      <c r="S71" s="156"/>
      <c r="T71" s="156"/>
      <c r="U71" s="305" t="s">
        <v>52</v>
      </c>
      <c r="V71" s="270" t="s">
        <v>306</v>
      </c>
    </row>
    <row r="72" spans="1:22" s="112" customFormat="1" ht="21.75" customHeight="1">
      <c r="A72" s="307"/>
      <c r="B72" s="307"/>
      <c r="C72" s="35">
        <v>2018</v>
      </c>
      <c r="D72" s="39">
        <f>I72</f>
        <v>0</v>
      </c>
      <c r="E72" s="40"/>
      <c r="F72" s="40"/>
      <c r="G72" s="40"/>
      <c r="H72" s="40"/>
      <c r="I72" s="40">
        <v>0</v>
      </c>
      <c r="J72" s="40"/>
      <c r="K72" s="40"/>
      <c r="L72" s="40"/>
      <c r="M72" s="40"/>
      <c r="N72" s="40"/>
      <c r="O72" s="39">
        <v>0</v>
      </c>
      <c r="P72" s="156"/>
      <c r="Q72" s="156"/>
      <c r="R72" s="156"/>
      <c r="S72" s="156"/>
      <c r="T72" s="156"/>
      <c r="U72" s="305"/>
      <c r="V72" s="270"/>
    </row>
    <row r="73" spans="1:22" s="112" customFormat="1" ht="21.75" customHeight="1">
      <c r="A73" s="307"/>
      <c r="B73" s="307"/>
      <c r="C73" s="35">
        <v>2019</v>
      </c>
      <c r="D73" s="39">
        <f>O73+I73</f>
        <v>347.235</v>
      </c>
      <c r="E73" s="40"/>
      <c r="F73" s="40"/>
      <c r="G73" s="40">
        <f>I73</f>
        <v>330.7</v>
      </c>
      <c r="H73" s="40"/>
      <c r="I73" s="40">
        <v>330.7</v>
      </c>
      <c r="J73" s="40"/>
      <c r="K73" s="40"/>
      <c r="L73" s="40"/>
      <c r="M73" s="40"/>
      <c r="N73" s="40"/>
      <c r="O73" s="39">
        <v>16.535</v>
      </c>
      <c r="P73" s="156"/>
      <c r="Q73" s="156"/>
      <c r="R73" s="156"/>
      <c r="S73" s="156"/>
      <c r="T73" s="156"/>
      <c r="U73" s="305"/>
      <c r="V73" s="270"/>
    </row>
    <row r="74" spans="1:22" s="112" customFormat="1" ht="21.75" customHeight="1">
      <c r="A74" s="307"/>
      <c r="B74" s="307"/>
      <c r="C74" s="35">
        <v>2020</v>
      </c>
      <c r="D74" s="39">
        <f>I74</f>
        <v>0</v>
      </c>
      <c r="E74" s="40"/>
      <c r="F74" s="40"/>
      <c r="G74" s="40"/>
      <c r="H74" s="40"/>
      <c r="I74" s="40">
        <v>0</v>
      </c>
      <c r="J74" s="40"/>
      <c r="K74" s="40"/>
      <c r="L74" s="40"/>
      <c r="M74" s="40"/>
      <c r="N74" s="40"/>
      <c r="O74" s="39">
        <v>0</v>
      </c>
      <c r="P74" s="156"/>
      <c r="Q74" s="156"/>
      <c r="R74" s="156"/>
      <c r="S74" s="156"/>
      <c r="T74" s="156"/>
      <c r="U74" s="305"/>
      <c r="V74" s="270"/>
    </row>
    <row r="75" spans="1:22" s="112" customFormat="1" ht="21.75" customHeight="1">
      <c r="A75" s="307"/>
      <c r="B75" s="307"/>
      <c r="C75" s="35">
        <v>2021</v>
      </c>
      <c r="D75" s="39">
        <f>O75</f>
        <v>0</v>
      </c>
      <c r="E75" s="40"/>
      <c r="F75" s="40"/>
      <c r="G75" s="40"/>
      <c r="H75" s="40"/>
      <c r="I75" s="40">
        <v>0</v>
      </c>
      <c r="J75" s="40"/>
      <c r="K75" s="40"/>
      <c r="L75" s="40"/>
      <c r="M75" s="40"/>
      <c r="N75" s="40"/>
      <c r="O75" s="39">
        <v>0</v>
      </c>
      <c r="P75" s="156"/>
      <c r="Q75" s="156"/>
      <c r="R75" s="156"/>
      <c r="S75" s="156"/>
      <c r="T75" s="156"/>
      <c r="U75" s="305"/>
      <c r="V75" s="270"/>
    </row>
    <row r="76" spans="1:22" s="112" customFormat="1" ht="21.75" customHeight="1">
      <c r="A76" s="308"/>
      <c r="B76" s="308"/>
      <c r="C76" s="35">
        <v>2022</v>
      </c>
      <c r="D76" s="39">
        <f>I76</f>
        <v>0</v>
      </c>
      <c r="E76" s="40"/>
      <c r="F76" s="40"/>
      <c r="G76" s="40"/>
      <c r="H76" s="40"/>
      <c r="I76" s="40">
        <v>0</v>
      </c>
      <c r="J76" s="40"/>
      <c r="K76" s="40"/>
      <c r="L76" s="40"/>
      <c r="M76" s="40"/>
      <c r="N76" s="40"/>
      <c r="O76" s="39">
        <v>0</v>
      </c>
      <c r="P76" s="156"/>
      <c r="Q76" s="156"/>
      <c r="R76" s="156"/>
      <c r="S76" s="156"/>
      <c r="T76" s="156"/>
      <c r="U76" s="305"/>
      <c r="V76" s="270"/>
    </row>
    <row r="77" spans="1:22" s="112" customFormat="1" ht="21.75" customHeight="1">
      <c r="A77" s="306" t="s">
        <v>48</v>
      </c>
      <c r="B77" s="343" t="s">
        <v>329</v>
      </c>
      <c r="C77" s="35">
        <v>2017</v>
      </c>
      <c r="D77" s="39">
        <f>O77</f>
        <v>0</v>
      </c>
      <c r="E77" s="40"/>
      <c r="F77" s="40"/>
      <c r="G77" s="40"/>
      <c r="H77" s="40"/>
      <c r="I77" s="40">
        <v>0</v>
      </c>
      <c r="J77" s="40"/>
      <c r="K77" s="40"/>
      <c r="L77" s="40"/>
      <c r="M77" s="40"/>
      <c r="N77" s="40"/>
      <c r="O77" s="39">
        <v>0</v>
      </c>
      <c r="P77" s="156"/>
      <c r="Q77" s="156"/>
      <c r="R77" s="156"/>
      <c r="S77" s="156"/>
      <c r="T77" s="156"/>
      <c r="U77" s="167"/>
      <c r="V77" s="156"/>
    </row>
    <row r="78" spans="1:22" s="112" customFormat="1" ht="21.75" customHeight="1">
      <c r="A78" s="307"/>
      <c r="B78" s="344"/>
      <c r="C78" s="35">
        <v>2018</v>
      </c>
      <c r="D78" s="39">
        <f>I78</f>
        <v>0</v>
      </c>
      <c r="E78" s="40"/>
      <c r="F78" s="40"/>
      <c r="G78" s="40"/>
      <c r="H78" s="40"/>
      <c r="I78" s="40">
        <v>0</v>
      </c>
      <c r="J78" s="40"/>
      <c r="K78" s="40"/>
      <c r="L78" s="40"/>
      <c r="M78" s="40"/>
      <c r="N78" s="40"/>
      <c r="O78" s="39">
        <v>0</v>
      </c>
      <c r="P78" s="156"/>
      <c r="Q78" s="156"/>
      <c r="R78" s="156"/>
      <c r="S78" s="156"/>
      <c r="T78" s="156"/>
      <c r="U78" s="167"/>
      <c r="V78" s="156"/>
    </row>
    <row r="79" spans="1:22" s="112" customFormat="1" ht="21.75" customHeight="1">
      <c r="A79" s="307"/>
      <c r="B79" s="344"/>
      <c r="C79" s="35">
        <v>2019</v>
      </c>
      <c r="D79" s="39">
        <f>O79</f>
        <v>0</v>
      </c>
      <c r="E79" s="40"/>
      <c r="F79" s="40"/>
      <c r="G79" s="40"/>
      <c r="H79" s="40"/>
      <c r="I79" s="40">
        <v>0</v>
      </c>
      <c r="J79" s="40"/>
      <c r="K79" s="40"/>
      <c r="L79" s="40"/>
      <c r="M79" s="40"/>
      <c r="N79" s="40"/>
      <c r="O79" s="39">
        <v>0</v>
      </c>
      <c r="P79" s="156"/>
      <c r="Q79" s="156"/>
      <c r="R79" s="156"/>
      <c r="S79" s="156"/>
      <c r="T79" s="156"/>
      <c r="U79" s="167"/>
      <c r="V79" s="156"/>
    </row>
    <row r="80" spans="1:22" s="112" customFormat="1" ht="21.75" customHeight="1">
      <c r="A80" s="307"/>
      <c r="B80" s="344"/>
      <c r="C80" s="35">
        <v>2020</v>
      </c>
      <c r="D80" s="39">
        <f>P80+O80+I80</f>
        <v>334.82800000000003</v>
      </c>
      <c r="E80" s="40"/>
      <c r="F80" s="40"/>
      <c r="G80" s="40"/>
      <c r="H80" s="40"/>
      <c r="I80" s="40">
        <v>291.3</v>
      </c>
      <c r="J80" s="40"/>
      <c r="K80" s="40"/>
      <c r="L80" s="40"/>
      <c r="M80" s="40"/>
      <c r="N80" s="40"/>
      <c r="O80" s="39">
        <v>43.528</v>
      </c>
      <c r="P80" s="156"/>
      <c r="Q80" s="156"/>
      <c r="R80" s="156"/>
      <c r="S80" s="156"/>
      <c r="T80" s="156"/>
      <c r="U80" s="167"/>
      <c r="V80" s="156"/>
    </row>
    <row r="81" spans="1:22" s="112" customFormat="1" ht="21.75" customHeight="1">
      <c r="A81" s="307"/>
      <c r="B81" s="344"/>
      <c r="C81" s="35">
        <v>2021</v>
      </c>
      <c r="D81" s="39">
        <f>I81</f>
        <v>291.3</v>
      </c>
      <c r="E81" s="40"/>
      <c r="F81" s="40"/>
      <c r="G81" s="40"/>
      <c r="H81" s="40"/>
      <c r="I81" s="40">
        <v>291.3</v>
      </c>
      <c r="J81" s="40"/>
      <c r="K81" s="40"/>
      <c r="L81" s="40"/>
      <c r="M81" s="40"/>
      <c r="N81" s="40"/>
      <c r="O81" s="39">
        <v>0</v>
      </c>
      <c r="P81" s="156"/>
      <c r="Q81" s="156"/>
      <c r="R81" s="156"/>
      <c r="S81" s="156"/>
      <c r="T81" s="156"/>
      <c r="U81" s="167"/>
      <c r="V81" s="156"/>
    </row>
    <row r="82" spans="1:22" s="112" customFormat="1" ht="21.75" customHeight="1">
      <c r="A82" s="308"/>
      <c r="B82" s="345"/>
      <c r="C82" s="35">
        <v>2022</v>
      </c>
      <c r="D82" s="39">
        <f>O82+I82</f>
        <v>291.3</v>
      </c>
      <c r="E82" s="40"/>
      <c r="F82" s="40"/>
      <c r="G82" s="40"/>
      <c r="H82" s="40"/>
      <c r="I82" s="40">
        <v>291.3</v>
      </c>
      <c r="J82" s="40"/>
      <c r="K82" s="40"/>
      <c r="L82" s="40"/>
      <c r="M82" s="40"/>
      <c r="N82" s="40"/>
      <c r="O82" s="39">
        <v>0</v>
      </c>
      <c r="P82" s="156"/>
      <c r="Q82" s="156"/>
      <c r="R82" s="156"/>
      <c r="S82" s="156"/>
      <c r="T82" s="156"/>
      <c r="U82" s="167"/>
      <c r="V82" s="156"/>
    </row>
    <row r="83" spans="1:22" s="112" customFormat="1" ht="21.75" customHeight="1">
      <c r="A83" s="306" t="s">
        <v>53</v>
      </c>
      <c r="B83" s="343" t="s">
        <v>330</v>
      </c>
      <c r="C83" s="35">
        <v>2017</v>
      </c>
      <c r="D83" s="39">
        <f>I83</f>
        <v>0</v>
      </c>
      <c r="E83" s="40"/>
      <c r="F83" s="40"/>
      <c r="G83" s="40"/>
      <c r="H83" s="40"/>
      <c r="I83" s="40">
        <v>0</v>
      </c>
      <c r="J83" s="40"/>
      <c r="K83" s="40"/>
      <c r="L83" s="40"/>
      <c r="M83" s="40"/>
      <c r="N83" s="40"/>
      <c r="O83" s="39">
        <v>0</v>
      </c>
      <c r="P83" s="156"/>
      <c r="Q83" s="156"/>
      <c r="R83" s="156"/>
      <c r="S83" s="156"/>
      <c r="T83" s="156"/>
      <c r="U83" s="167"/>
      <c r="V83" s="156"/>
    </row>
    <row r="84" spans="1:22" s="112" customFormat="1" ht="21.75" customHeight="1">
      <c r="A84" s="307"/>
      <c r="B84" s="344"/>
      <c r="C84" s="35">
        <v>2018</v>
      </c>
      <c r="D84" s="39">
        <f>O84</f>
        <v>0</v>
      </c>
      <c r="E84" s="40"/>
      <c r="F84" s="40"/>
      <c r="G84" s="40"/>
      <c r="H84" s="40"/>
      <c r="I84" s="40">
        <v>0</v>
      </c>
      <c r="J84" s="40"/>
      <c r="K84" s="40"/>
      <c r="L84" s="40"/>
      <c r="M84" s="40"/>
      <c r="N84" s="40"/>
      <c r="O84" s="39">
        <v>0</v>
      </c>
      <c r="P84" s="156"/>
      <c r="Q84" s="156"/>
      <c r="R84" s="156"/>
      <c r="S84" s="156"/>
      <c r="T84" s="156"/>
      <c r="U84" s="167"/>
      <c r="V84" s="156"/>
    </row>
    <row r="85" spans="1:22" s="112" customFormat="1" ht="21.75" customHeight="1">
      <c r="A85" s="307"/>
      <c r="B85" s="344"/>
      <c r="C85" s="35">
        <v>2019</v>
      </c>
      <c r="D85" s="39">
        <f>O85</f>
        <v>0</v>
      </c>
      <c r="E85" s="40"/>
      <c r="F85" s="40"/>
      <c r="G85" s="40"/>
      <c r="H85" s="40"/>
      <c r="I85" s="40">
        <v>0</v>
      </c>
      <c r="J85" s="40"/>
      <c r="K85" s="40"/>
      <c r="L85" s="40"/>
      <c r="M85" s="40"/>
      <c r="N85" s="40"/>
      <c r="O85" s="39">
        <v>0</v>
      </c>
      <c r="P85" s="156"/>
      <c r="Q85" s="156"/>
      <c r="R85" s="156"/>
      <c r="S85" s="156"/>
      <c r="T85" s="156"/>
      <c r="U85" s="167"/>
      <c r="V85" s="156"/>
    </row>
    <row r="86" spans="1:22" s="112" customFormat="1" ht="21.75" customHeight="1">
      <c r="A86" s="307"/>
      <c r="B86" s="344"/>
      <c r="C86" s="35">
        <v>2020</v>
      </c>
      <c r="D86" s="39">
        <f>P86+I86+O86</f>
        <v>335.97700000000003</v>
      </c>
      <c r="E86" s="40"/>
      <c r="F86" s="40"/>
      <c r="G86" s="40"/>
      <c r="H86" s="40"/>
      <c r="I86" s="40">
        <v>292.3</v>
      </c>
      <c r="J86" s="40"/>
      <c r="K86" s="40"/>
      <c r="L86" s="40"/>
      <c r="M86" s="40"/>
      <c r="N86" s="40"/>
      <c r="O86" s="39">
        <v>43.677</v>
      </c>
      <c r="P86" s="156"/>
      <c r="Q86" s="156"/>
      <c r="R86" s="156"/>
      <c r="S86" s="156"/>
      <c r="T86" s="156"/>
      <c r="U86" s="167"/>
      <c r="V86" s="156"/>
    </row>
    <row r="87" spans="1:22" s="112" customFormat="1" ht="21.75" customHeight="1">
      <c r="A87" s="307"/>
      <c r="B87" s="344"/>
      <c r="C87" s="35">
        <v>2021</v>
      </c>
      <c r="D87" s="39">
        <f>I87</f>
        <v>0</v>
      </c>
      <c r="E87" s="40"/>
      <c r="F87" s="40"/>
      <c r="G87" s="40"/>
      <c r="H87" s="40"/>
      <c r="I87" s="40">
        <v>0</v>
      </c>
      <c r="J87" s="40"/>
      <c r="K87" s="40"/>
      <c r="L87" s="40"/>
      <c r="M87" s="40"/>
      <c r="N87" s="40"/>
      <c r="O87" s="39">
        <v>0</v>
      </c>
      <c r="P87" s="156"/>
      <c r="Q87" s="156"/>
      <c r="R87" s="156"/>
      <c r="S87" s="156"/>
      <c r="T87" s="156"/>
      <c r="U87" s="167"/>
      <c r="V87" s="156"/>
    </row>
    <row r="88" spans="1:22" s="112" customFormat="1" ht="21.75" customHeight="1">
      <c r="A88" s="308"/>
      <c r="B88" s="345"/>
      <c r="C88" s="35">
        <v>2022</v>
      </c>
      <c r="D88" s="39">
        <f>I88</f>
        <v>0</v>
      </c>
      <c r="E88" s="40"/>
      <c r="F88" s="40"/>
      <c r="G88" s="40"/>
      <c r="H88" s="40"/>
      <c r="I88" s="40">
        <v>0</v>
      </c>
      <c r="J88" s="40"/>
      <c r="K88" s="40"/>
      <c r="L88" s="40"/>
      <c r="M88" s="40"/>
      <c r="N88" s="40"/>
      <c r="O88" s="39">
        <v>0</v>
      </c>
      <c r="P88" s="156"/>
      <c r="Q88" s="156"/>
      <c r="R88" s="156"/>
      <c r="S88" s="156"/>
      <c r="T88" s="156"/>
      <c r="U88" s="167"/>
      <c r="V88" s="156"/>
    </row>
    <row r="89" spans="1:22" s="112" customFormat="1" ht="14.25">
      <c r="A89" s="306"/>
      <c r="B89" s="334" t="s">
        <v>202</v>
      </c>
      <c r="C89" s="164">
        <v>2017</v>
      </c>
      <c r="D89" s="50">
        <f>O89</f>
        <v>0</v>
      </c>
      <c r="E89" s="40"/>
      <c r="F89" s="40"/>
      <c r="G89" s="40"/>
      <c r="H89" s="40"/>
      <c r="I89" s="40">
        <v>0</v>
      </c>
      <c r="J89" s="40"/>
      <c r="K89" s="40"/>
      <c r="L89" s="40"/>
      <c r="M89" s="40"/>
      <c r="N89" s="40"/>
      <c r="O89" s="50">
        <f>O59</f>
        <v>0</v>
      </c>
      <c r="P89" s="156"/>
      <c r="Q89" s="156"/>
      <c r="R89" s="156"/>
      <c r="S89" s="156"/>
      <c r="T89" s="156"/>
      <c r="U89" s="139"/>
      <c r="V89" s="33"/>
    </row>
    <row r="90" spans="1:22" s="112" customFormat="1" ht="14.25">
      <c r="A90" s="307"/>
      <c r="B90" s="335"/>
      <c r="C90" s="164">
        <v>2018</v>
      </c>
      <c r="D90" s="50">
        <f>O90</f>
        <v>70</v>
      </c>
      <c r="E90" s="51"/>
      <c r="F90" s="51"/>
      <c r="G90" s="51"/>
      <c r="H90" s="51"/>
      <c r="I90" s="51">
        <v>0</v>
      </c>
      <c r="J90" s="51"/>
      <c r="K90" s="51"/>
      <c r="L90" s="51"/>
      <c r="M90" s="51"/>
      <c r="N90" s="51"/>
      <c r="O90" s="50">
        <f>O66</f>
        <v>70</v>
      </c>
      <c r="P90" s="156"/>
      <c r="Q90" s="156"/>
      <c r="R90" s="156"/>
      <c r="S90" s="156"/>
      <c r="T90" s="156"/>
      <c r="U90" s="139"/>
      <c r="V90" s="33"/>
    </row>
    <row r="91" spans="1:22" s="112" customFormat="1" ht="14.25">
      <c r="A91" s="307"/>
      <c r="B91" s="335"/>
      <c r="C91" s="164">
        <v>2019</v>
      </c>
      <c r="D91" s="50">
        <f>I91+O91+H91</f>
        <v>4991.084999999999</v>
      </c>
      <c r="E91" s="51"/>
      <c r="F91" s="51"/>
      <c r="G91" s="51">
        <f>G73+G61</f>
        <v>4738.099999999999</v>
      </c>
      <c r="H91" s="51">
        <f>H61</f>
        <v>4407.4</v>
      </c>
      <c r="I91" s="51">
        <f>I61+I73</f>
        <v>330.7</v>
      </c>
      <c r="J91" s="51"/>
      <c r="K91" s="51"/>
      <c r="L91" s="51"/>
      <c r="M91" s="51"/>
      <c r="N91" s="51"/>
      <c r="O91" s="50">
        <f>O61+O73</f>
        <v>252.98499999999999</v>
      </c>
      <c r="P91" s="156"/>
      <c r="Q91" s="156"/>
      <c r="R91" s="156"/>
      <c r="S91" s="156"/>
      <c r="T91" s="156"/>
      <c r="U91" s="139"/>
      <c r="V91" s="33"/>
    </row>
    <row r="92" spans="1:22" s="112" customFormat="1" ht="14.25">
      <c r="A92" s="307"/>
      <c r="B92" s="335"/>
      <c r="C92" s="164">
        <v>2020</v>
      </c>
      <c r="D92" s="50">
        <f>O92+I92</f>
        <v>670.8050000000001</v>
      </c>
      <c r="E92" s="51"/>
      <c r="F92" s="51"/>
      <c r="G92" s="51"/>
      <c r="H92" s="51"/>
      <c r="I92" s="51">
        <f>I86+I80</f>
        <v>583.6</v>
      </c>
      <c r="J92" s="51"/>
      <c r="K92" s="51"/>
      <c r="L92" s="51"/>
      <c r="M92" s="51"/>
      <c r="N92" s="51"/>
      <c r="O92" s="50">
        <f>O86+O80</f>
        <v>87.205</v>
      </c>
      <c r="P92" s="156"/>
      <c r="Q92" s="156"/>
      <c r="R92" s="156"/>
      <c r="S92" s="156"/>
      <c r="T92" s="156"/>
      <c r="U92" s="139"/>
      <c r="V92" s="33"/>
    </row>
    <row r="93" spans="1:22" s="112" customFormat="1" ht="14.25">
      <c r="A93" s="307"/>
      <c r="B93" s="335"/>
      <c r="C93" s="164">
        <v>2021</v>
      </c>
      <c r="D93" s="50">
        <f>I93</f>
        <v>291.3</v>
      </c>
      <c r="E93" s="51"/>
      <c r="F93" s="51"/>
      <c r="G93" s="51"/>
      <c r="H93" s="51"/>
      <c r="I93" s="51">
        <f>I87+I81</f>
        <v>291.3</v>
      </c>
      <c r="J93" s="51"/>
      <c r="K93" s="51"/>
      <c r="L93" s="51"/>
      <c r="M93" s="51"/>
      <c r="N93" s="51"/>
      <c r="O93" s="50">
        <f>0</f>
        <v>0</v>
      </c>
      <c r="P93" s="156"/>
      <c r="Q93" s="156"/>
      <c r="R93" s="156"/>
      <c r="S93" s="156"/>
      <c r="T93" s="156"/>
      <c r="U93" s="107"/>
      <c r="V93" s="168"/>
    </row>
    <row r="94" spans="1:22" s="112" customFormat="1" ht="14.25">
      <c r="A94" s="308"/>
      <c r="B94" s="336"/>
      <c r="C94" s="164">
        <v>2022</v>
      </c>
      <c r="D94" s="50">
        <f>O94+I94</f>
        <v>291.3</v>
      </c>
      <c r="E94" s="51"/>
      <c r="F94" s="51"/>
      <c r="G94" s="51"/>
      <c r="H94" s="51"/>
      <c r="I94" s="51">
        <f>I88+I82</f>
        <v>291.3</v>
      </c>
      <c r="J94" s="51"/>
      <c r="K94" s="51"/>
      <c r="L94" s="51"/>
      <c r="M94" s="51"/>
      <c r="N94" s="51"/>
      <c r="O94" s="50">
        <f>O76+O70+O64</f>
        <v>0</v>
      </c>
      <c r="P94" s="156"/>
      <c r="Q94" s="156"/>
      <c r="R94" s="156"/>
      <c r="S94" s="156"/>
      <c r="T94" s="156"/>
      <c r="U94" s="107"/>
      <c r="V94" s="168"/>
    </row>
    <row r="95" spans="1:22" s="112" customFormat="1" ht="14.25">
      <c r="A95" s="306"/>
      <c r="B95" s="334" t="s">
        <v>94</v>
      </c>
      <c r="C95" s="164">
        <v>2017</v>
      </c>
      <c r="D95" s="50">
        <f>O95</f>
        <v>358.5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50">
        <f>O89+O49</f>
        <v>358.5</v>
      </c>
      <c r="P95" s="156"/>
      <c r="Q95" s="156"/>
      <c r="R95" s="156"/>
      <c r="S95" s="156"/>
      <c r="T95" s="156"/>
      <c r="U95" s="33"/>
      <c r="V95" s="156"/>
    </row>
    <row r="96" spans="1:22" s="112" customFormat="1" ht="14.25">
      <c r="A96" s="307"/>
      <c r="B96" s="335"/>
      <c r="C96" s="164">
        <v>2018</v>
      </c>
      <c r="D96" s="50">
        <f>O96</f>
        <v>428.5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0">
        <f>O90+O50</f>
        <v>428.5</v>
      </c>
      <c r="P96" s="156"/>
      <c r="Q96" s="156"/>
      <c r="R96" s="156"/>
      <c r="S96" s="156"/>
      <c r="T96" s="156"/>
      <c r="U96" s="33"/>
      <c r="V96" s="156"/>
    </row>
    <row r="97" spans="1:22" s="112" customFormat="1" ht="14.25">
      <c r="A97" s="307"/>
      <c r="B97" s="335"/>
      <c r="C97" s="164">
        <v>2019</v>
      </c>
      <c r="D97" s="50">
        <f>O97+I97+H97</f>
        <v>5391.084999999999</v>
      </c>
      <c r="E97" s="51"/>
      <c r="F97" s="51"/>
      <c r="G97" s="51">
        <f>H97+I97</f>
        <v>4738.099999999999</v>
      </c>
      <c r="H97" s="51">
        <f>H61</f>
        <v>4407.4</v>
      </c>
      <c r="I97" s="51">
        <f>I91</f>
        <v>330.7</v>
      </c>
      <c r="J97" s="51"/>
      <c r="K97" s="51"/>
      <c r="L97" s="51"/>
      <c r="M97" s="51"/>
      <c r="N97" s="51"/>
      <c r="O97" s="50">
        <f>O91+O51</f>
        <v>652.985</v>
      </c>
      <c r="P97" s="156"/>
      <c r="Q97" s="156"/>
      <c r="R97" s="156"/>
      <c r="S97" s="156"/>
      <c r="T97" s="156"/>
      <c r="U97" s="33"/>
      <c r="V97" s="156"/>
    </row>
    <row r="98" spans="1:22" s="112" customFormat="1" ht="14.25">
      <c r="A98" s="307"/>
      <c r="B98" s="335"/>
      <c r="C98" s="164">
        <v>2020</v>
      </c>
      <c r="D98" s="50">
        <f>O98+I98</f>
        <v>1070.805</v>
      </c>
      <c r="E98" s="51"/>
      <c r="F98" s="51"/>
      <c r="G98" s="51"/>
      <c r="H98" s="51"/>
      <c r="I98" s="51">
        <f>I92</f>
        <v>583.6</v>
      </c>
      <c r="J98" s="51"/>
      <c r="K98" s="51"/>
      <c r="L98" s="51"/>
      <c r="M98" s="51"/>
      <c r="N98" s="51"/>
      <c r="O98" s="50">
        <f>O92+O52</f>
        <v>487.205</v>
      </c>
      <c r="P98" s="156"/>
      <c r="Q98" s="156"/>
      <c r="R98" s="156"/>
      <c r="S98" s="156"/>
      <c r="T98" s="156"/>
      <c r="U98" s="170"/>
      <c r="V98" s="156"/>
    </row>
    <row r="99" spans="1:22" s="112" customFormat="1" ht="14.25">
      <c r="A99" s="307"/>
      <c r="B99" s="335"/>
      <c r="C99" s="164">
        <v>2021</v>
      </c>
      <c r="D99" s="50">
        <f>O99+I99</f>
        <v>316.3</v>
      </c>
      <c r="E99" s="51"/>
      <c r="F99" s="51"/>
      <c r="G99" s="51"/>
      <c r="H99" s="51"/>
      <c r="I99" s="51">
        <f>I93</f>
        <v>291.3</v>
      </c>
      <c r="J99" s="51"/>
      <c r="K99" s="51"/>
      <c r="L99" s="51"/>
      <c r="M99" s="51"/>
      <c r="N99" s="51"/>
      <c r="O99" s="50">
        <f>O53+O93</f>
        <v>25</v>
      </c>
      <c r="P99" s="156"/>
      <c r="Q99" s="156"/>
      <c r="R99" s="156"/>
      <c r="S99" s="156"/>
      <c r="T99" s="156"/>
      <c r="U99" s="170"/>
      <c r="V99" s="156"/>
    </row>
    <row r="100" spans="1:22" s="112" customFormat="1" ht="14.25">
      <c r="A100" s="308"/>
      <c r="B100" s="336"/>
      <c r="C100" s="164">
        <v>2022</v>
      </c>
      <c r="D100" s="50">
        <f>O100+I100</f>
        <v>316.3</v>
      </c>
      <c r="E100" s="51"/>
      <c r="F100" s="51"/>
      <c r="G100" s="51"/>
      <c r="H100" s="51"/>
      <c r="I100" s="51">
        <f>I94</f>
        <v>291.3</v>
      </c>
      <c r="J100" s="51"/>
      <c r="K100" s="51"/>
      <c r="L100" s="51"/>
      <c r="M100" s="51"/>
      <c r="N100" s="51"/>
      <c r="O100" s="50">
        <f>O832+O54+O94</f>
        <v>25</v>
      </c>
      <c r="P100" s="156"/>
      <c r="Q100" s="156"/>
      <c r="R100" s="156"/>
      <c r="S100" s="156"/>
      <c r="T100" s="156"/>
      <c r="U100" s="170"/>
      <c r="V100" s="156"/>
    </row>
    <row r="101" spans="1:22" s="112" customFormat="1" ht="14.25">
      <c r="A101" s="36"/>
      <c r="B101" s="36"/>
      <c r="C101" s="52" t="s">
        <v>293</v>
      </c>
      <c r="D101" s="53">
        <f>O101+I101+H101</f>
        <v>7881.49</v>
      </c>
      <c r="E101" s="54"/>
      <c r="F101" s="54"/>
      <c r="G101" s="53">
        <f>H101+I101</f>
        <v>5904.299999999999</v>
      </c>
      <c r="H101" s="53">
        <f>H97</f>
        <v>4407.4</v>
      </c>
      <c r="I101" s="53">
        <f>SUM(I97:I100)</f>
        <v>1496.8999999999999</v>
      </c>
      <c r="J101" s="54"/>
      <c r="K101" s="54"/>
      <c r="L101" s="54"/>
      <c r="M101" s="54"/>
      <c r="N101" s="54"/>
      <c r="O101" s="53">
        <f>SUM(O95:O100)</f>
        <v>1977.19</v>
      </c>
      <c r="P101" s="36"/>
      <c r="Q101" s="36"/>
      <c r="R101" s="36"/>
      <c r="S101" s="36"/>
      <c r="T101" s="36"/>
      <c r="U101" s="36"/>
      <c r="V101" s="36"/>
    </row>
    <row r="102" s="112" customFormat="1" ht="14.25">
      <c r="O102" s="124"/>
    </row>
  </sheetData>
  <sheetProtection/>
  <mergeCells count="79">
    <mergeCell ref="B77:B82"/>
    <mergeCell ref="A83:A88"/>
    <mergeCell ref="B83:B88"/>
    <mergeCell ref="P4:V4"/>
    <mergeCell ref="P2:V2"/>
    <mergeCell ref="P3:V3"/>
    <mergeCell ref="A18:A23"/>
    <mergeCell ref="B18:B23"/>
    <mergeCell ref="A24:A30"/>
    <mergeCell ref="B24:B30"/>
    <mergeCell ref="A89:A94"/>
    <mergeCell ref="B89:B94"/>
    <mergeCell ref="A95:A100"/>
    <mergeCell ref="B95:B100"/>
    <mergeCell ref="B43:B48"/>
    <mergeCell ref="A59:A64"/>
    <mergeCell ref="B59:B64"/>
    <mergeCell ref="A71:A76"/>
    <mergeCell ref="A43:A48"/>
    <mergeCell ref="A77:A82"/>
    <mergeCell ref="D25:D26"/>
    <mergeCell ref="B71:B76"/>
    <mergeCell ref="U43:U48"/>
    <mergeCell ref="A49:A54"/>
    <mergeCell ref="B49:B54"/>
    <mergeCell ref="S24:U30"/>
    <mergeCell ref="U37:U42"/>
    <mergeCell ref="B37:B42"/>
    <mergeCell ref="A65:A70"/>
    <mergeCell ref="B65:B70"/>
    <mergeCell ref="K39:N39"/>
    <mergeCell ref="T31:U36"/>
    <mergeCell ref="V43:V46"/>
    <mergeCell ref="A57:A58"/>
    <mergeCell ref="B57:V58"/>
    <mergeCell ref="L45:N45"/>
    <mergeCell ref="P44:T46"/>
    <mergeCell ref="A56:V56"/>
    <mergeCell ref="L44:N44"/>
    <mergeCell ref="J21:N21"/>
    <mergeCell ref="A15:V15"/>
    <mergeCell ref="V59:V70"/>
    <mergeCell ref="U59:U70"/>
    <mergeCell ref="U18:U23"/>
    <mergeCell ref="A37:A42"/>
    <mergeCell ref="V31:V34"/>
    <mergeCell ref="V37:V40"/>
    <mergeCell ref="K38:N38"/>
    <mergeCell ref="K40:N40"/>
    <mergeCell ref="E10:E13"/>
    <mergeCell ref="G11:J11"/>
    <mergeCell ref="A31:A36"/>
    <mergeCell ref="B31:B36"/>
    <mergeCell ref="H12:I12"/>
    <mergeCell ref="Q14:U14"/>
    <mergeCell ref="U9:U13"/>
    <mergeCell ref="C25:C26"/>
    <mergeCell ref="O25:O26"/>
    <mergeCell ref="P25:P26"/>
    <mergeCell ref="D9:D13"/>
    <mergeCell ref="E9:O9"/>
    <mergeCell ref="V18:V21"/>
    <mergeCell ref="V24:V28"/>
    <mergeCell ref="A17:V17"/>
    <mergeCell ref="B2:L2"/>
    <mergeCell ref="B3:L3"/>
    <mergeCell ref="K4:L4"/>
    <mergeCell ref="K5:L5"/>
    <mergeCell ref="G10:O10"/>
    <mergeCell ref="P9:P13"/>
    <mergeCell ref="A16:V16"/>
    <mergeCell ref="O11:O13"/>
    <mergeCell ref="G12:G13"/>
    <mergeCell ref="V71:V76"/>
    <mergeCell ref="U71:U76"/>
    <mergeCell ref="V9:V13"/>
    <mergeCell ref="A9:A13"/>
    <mergeCell ref="B9:B13"/>
    <mergeCell ref="C9:C13"/>
  </mergeCells>
  <printOptions/>
  <pageMargins left="0.7086614173228347" right="0.7086614173228347" top="0.15748031496062992" bottom="0.15748031496062992" header="0.31496062992125984" footer="0.31496062992125984"/>
  <pageSetup fitToHeight="3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zoomScalePageLayoutView="0" workbookViewId="0" topLeftCell="A4">
      <selection activeCell="C27" sqref="C27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7" width="12.8515625" style="0" customWidth="1"/>
    <col min="8" max="8" width="17.7109375" style="0" customWidth="1"/>
    <col min="9" max="9" width="14.28125" style="0" customWidth="1"/>
    <col min="10" max="10" width="12.7109375" style="0" customWidth="1"/>
    <col min="12" max="12" width="13.00390625" style="0" customWidth="1"/>
    <col min="13" max="13" width="33.421875" style="0" customWidth="1"/>
  </cols>
  <sheetData>
    <row r="1" ht="14.25">
      <c r="M1" s="136"/>
    </row>
    <row r="2" spans="1:13" ht="15">
      <c r="A2" s="24"/>
      <c r="B2" s="349" t="s">
        <v>309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ht="15">
      <c r="A3" s="24"/>
      <c r="B3" s="22"/>
      <c r="C3" s="22"/>
      <c r="D3" s="22"/>
      <c r="E3" s="22"/>
      <c r="F3" s="22"/>
      <c r="G3" s="22"/>
      <c r="H3" s="22"/>
      <c r="I3" s="22"/>
      <c r="J3" s="22"/>
      <c r="K3" s="349" t="s">
        <v>316</v>
      </c>
      <c r="L3" s="349"/>
      <c r="M3" s="349"/>
    </row>
    <row r="4" spans="1:13" ht="19.5" customHeight="1">
      <c r="A4" s="22"/>
      <c r="B4" s="23"/>
      <c r="C4" s="23"/>
      <c r="D4" s="23"/>
      <c r="E4" s="23"/>
      <c r="F4" s="23"/>
      <c r="G4" s="23"/>
      <c r="H4" s="23"/>
      <c r="I4" s="23"/>
      <c r="J4" s="22"/>
      <c r="K4" s="349" t="s">
        <v>317</v>
      </c>
      <c r="L4" s="349"/>
      <c r="M4" s="349"/>
    </row>
    <row r="5" spans="1:13" ht="16.5" customHeight="1">
      <c r="A5" s="22"/>
      <c r="B5" s="24"/>
      <c r="C5" s="24"/>
      <c r="D5" s="24"/>
      <c r="E5" s="25"/>
      <c r="F5" s="25"/>
      <c r="G5" s="25"/>
      <c r="H5" s="24"/>
      <c r="I5" s="26"/>
      <c r="J5" s="24"/>
      <c r="K5" s="138"/>
      <c r="L5" s="349" t="s">
        <v>318</v>
      </c>
      <c r="M5" s="349"/>
    </row>
    <row r="6" spans="1:13" ht="16.5" customHeight="1">
      <c r="A6" s="22"/>
      <c r="B6" s="24"/>
      <c r="C6" s="24"/>
      <c r="D6" s="24"/>
      <c r="E6" s="25"/>
      <c r="F6" s="25"/>
      <c r="G6" s="25"/>
      <c r="H6" s="24"/>
      <c r="I6" s="26"/>
      <c r="J6" s="24"/>
      <c r="K6" s="24"/>
      <c r="L6" s="23"/>
      <c r="M6" s="23"/>
    </row>
    <row r="7" spans="1:13" ht="1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5" customHeight="1">
      <c r="A8" s="350" t="s">
        <v>157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1"/>
    </row>
    <row r="9" spans="1:13" ht="21.75" customHeight="1">
      <c r="A9" s="347" t="s">
        <v>0</v>
      </c>
      <c r="B9" s="347" t="s">
        <v>1</v>
      </c>
      <c r="C9" s="347" t="s">
        <v>2</v>
      </c>
      <c r="D9" s="347" t="s">
        <v>76</v>
      </c>
      <c r="E9" s="347" t="s">
        <v>77</v>
      </c>
      <c r="F9" s="347"/>
      <c r="G9" s="347"/>
      <c r="H9" s="347"/>
      <c r="I9" s="347"/>
      <c r="J9" s="352" t="s">
        <v>23</v>
      </c>
      <c r="K9" s="347" t="s">
        <v>68</v>
      </c>
      <c r="L9" s="347"/>
      <c r="M9" s="347" t="s">
        <v>69</v>
      </c>
    </row>
    <row r="10" spans="1:13" ht="15" customHeight="1">
      <c r="A10" s="347"/>
      <c r="B10" s="347"/>
      <c r="C10" s="347"/>
      <c r="D10" s="347"/>
      <c r="E10" s="347"/>
      <c r="F10" s="347"/>
      <c r="G10" s="347"/>
      <c r="H10" s="347"/>
      <c r="I10" s="347"/>
      <c r="J10" s="353"/>
      <c r="K10" s="347"/>
      <c r="L10" s="347"/>
      <c r="M10" s="347"/>
    </row>
    <row r="11" spans="1:13" ht="30" customHeight="1">
      <c r="A11" s="347"/>
      <c r="B11" s="347"/>
      <c r="C11" s="347"/>
      <c r="D11" s="347"/>
      <c r="E11" s="347" t="s">
        <v>22</v>
      </c>
      <c r="F11" s="348" t="s">
        <v>6</v>
      </c>
      <c r="G11" s="348"/>
      <c r="H11" s="348"/>
      <c r="I11" s="348"/>
      <c r="J11" s="353"/>
      <c r="K11" s="347"/>
      <c r="L11" s="347"/>
      <c r="M11" s="347"/>
    </row>
    <row r="12" spans="1:13" ht="15" customHeight="1">
      <c r="A12" s="347"/>
      <c r="B12" s="347"/>
      <c r="C12" s="347"/>
      <c r="D12" s="347"/>
      <c r="E12" s="347"/>
      <c r="F12" s="347" t="s">
        <v>208</v>
      </c>
      <c r="G12" s="347"/>
      <c r="H12" s="347"/>
      <c r="I12" s="347" t="s">
        <v>25</v>
      </c>
      <c r="J12" s="353"/>
      <c r="K12" s="347"/>
      <c r="L12" s="347"/>
      <c r="M12" s="347"/>
    </row>
    <row r="13" spans="1:13" ht="15" customHeight="1">
      <c r="A13" s="347"/>
      <c r="B13" s="347"/>
      <c r="C13" s="347"/>
      <c r="D13" s="347"/>
      <c r="E13" s="347"/>
      <c r="F13" s="347" t="s">
        <v>209</v>
      </c>
      <c r="G13" s="347" t="s">
        <v>204</v>
      </c>
      <c r="H13" s="347"/>
      <c r="I13" s="347"/>
      <c r="J13" s="353"/>
      <c r="K13" s="347"/>
      <c r="L13" s="347"/>
      <c r="M13" s="347"/>
    </row>
    <row r="14" spans="1:13" ht="94.5" customHeight="1">
      <c r="A14" s="347"/>
      <c r="B14" s="347"/>
      <c r="C14" s="347"/>
      <c r="D14" s="347"/>
      <c r="E14" s="348"/>
      <c r="F14" s="347"/>
      <c r="G14" s="28" t="s">
        <v>210</v>
      </c>
      <c r="H14" s="28" t="s">
        <v>211</v>
      </c>
      <c r="I14" s="347"/>
      <c r="J14" s="354"/>
      <c r="K14" s="347"/>
      <c r="L14" s="347"/>
      <c r="M14" s="347"/>
    </row>
    <row r="15" spans="1:13" ht="1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347">
        <v>11</v>
      </c>
      <c r="L15" s="347"/>
      <c r="M15" s="20">
        <v>12</v>
      </c>
    </row>
    <row r="16" spans="1:13" ht="15">
      <c r="A16" s="362" t="s">
        <v>70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</row>
    <row r="17" spans="1:16" ht="37.5" customHeight="1">
      <c r="A17" s="378" t="s">
        <v>114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P17" t="s">
        <v>39</v>
      </c>
    </row>
    <row r="18" spans="1:13" ht="37.5" customHeight="1">
      <c r="A18" s="379" t="s">
        <v>9</v>
      </c>
      <c r="B18" s="379" t="s">
        <v>118</v>
      </c>
      <c r="C18" s="131">
        <v>2017</v>
      </c>
      <c r="D18" s="55">
        <v>4</v>
      </c>
      <c r="E18" s="55"/>
      <c r="F18" s="55"/>
      <c r="G18" s="55"/>
      <c r="H18" s="55"/>
      <c r="I18" s="55">
        <v>4</v>
      </c>
      <c r="J18" s="56"/>
      <c r="K18" s="369" t="s">
        <v>71</v>
      </c>
      <c r="L18" s="359"/>
      <c r="M18" s="324" t="s">
        <v>119</v>
      </c>
    </row>
    <row r="19" spans="1:13" ht="39" customHeight="1">
      <c r="A19" s="379"/>
      <c r="B19" s="379"/>
      <c r="C19" s="131">
        <v>2018</v>
      </c>
      <c r="D19" s="57">
        <f>SUM(E19:I19)</f>
        <v>4</v>
      </c>
      <c r="E19" s="55"/>
      <c r="F19" s="55"/>
      <c r="G19" s="55"/>
      <c r="H19" s="58"/>
      <c r="I19" s="57">
        <v>4</v>
      </c>
      <c r="J19" s="133"/>
      <c r="K19" s="375"/>
      <c r="L19" s="360"/>
      <c r="M19" s="377"/>
    </row>
    <row r="20" spans="1:13" ht="39" customHeight="1">
      <c r="A20" s="379"/>
      <c r="B20" s="379"/>
      <c r="C20" s="131">
        <v>2019</v>
      </c>
      <c r="D20" s="55">
        <f>SUM(E20:I20)</f>
        <v>4</v>
      </c>
      <c r="E20" s="55"/>
      <c r="F20" s="55"/>
      <c r="G20" s="55"/>
      <c r="H20" s="58"/>
      <c r="I20" s="55">
        <v>4</v>
      </c>
      <c r="J20" s="133"/>
      <c r="K20" s="375"/>
      <c r="L20" s="360"/>
      <c r="M20" s="377"/>
    </row>
    <row r="21" spans="1:13" ht="38.25" customHeight="1">
      <c r="A21" s="379"/>
      <c r="B21" s="379"/>
      <c r="C21" s="131">
        <v>2020</v>
      </c>
      <c r="D21" s="55">
        <f>SUM(E21:I21)</f>
        <v>4</v>
      </c>
      <c r="E21" s="55"/>
      <c r="F21" s="55"/>
      <c r="G21" s="55"/>
      <c r="H21" s="58"/>
      <c r="I21" s="55">
        <v>4</v>
      </c>
      <c r="J21" s="133"/>
      <c r="K21" s="375"/>
      <c r="L21" s="360"/>
      <c r="M21" s="377"/>
    </row>
    <row r="22" spans="1:13" ht="38.25" customHeight="1">
      <c r="A22" s="379"/>
      <c r="B22" s="379"/>
      <c r="C22" s="131">
        <v>2021</v>
      </c>
      <c r="D22" s="55">
        <f>I22</f>
        <v>4</v>
      </c>
      <c r="E22" s="55"/>
      <c r="F22" s="55"/>
      <c r="G22" s="55"/>
      <c r="H22" s="58"/>
      <c r="I22" s="55">
        <v>4</v>
      </c>
      <c r="J22" s="133"/>
      <c r="K22" s="375"/>
      <c r="L22" s="360"/>
      <c r="M22" s="377"/>
    </row>
    <row r="23" spans="1:13" ht="38.25" customHeight="1">
      <c r="A23" s="379"/>
      <c r="B23" s="379"/>
      <c r="C23" s="131">
        <v>2022</v>
      </c>
      <c r="D23" s="55">
        <f>I23</f>
        <v>4</v>
      </c>
      <c r="E23" s="55"/>
      <c r="F23" s="55"/>
      <c r="G23" s="55"/>
      <c r="H23" s="58"/>
      <c r="I23" s="55">
        <v>4</v>
      </c>
      <c r="J23" s="133"/>
      <c r="K23" s="376"/>
      <c r="L23" s="361"/>
      <c r="M23" s="325"/>
    </row>
    <row r="24" spans="1:13" ht="15.75" customHeight="1">
      <c r="A24" s="356" t="s">
        <v>120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8"/>
    </row>
    <row r="25" spans="1:13" ht="32.25" customHeight="1">
      <c r="A25" s="379" t="s">
        <v>117</v>
      </c>
      <c r="B25" s="379" t="s">
        <v>121</v>
      </c>
      <c r="C25" s="59">
        <v>2017</v>
      </c>
      <c r="D25" s="60">
        <v>1.5</v>
      </c>
      <c r="E25" s="59"/>
      <c r="F25" s="59"/>
      <c r="G25" s="59"/>
      <c r="H25" s="59"/>
      <c r="I25" s="60">
        <v>1.5</v>
      </c>
      <c r="J25" s="133"/>
      <c r="K25" s="369" t="s">
        <v>74</v>
      </c>
      <c r="L25" s="359"/>
      <c r="M25" s="363" t="s">
        <v>141</v>
      </c>
    </row>
    <row r="26" spans="1:16" ht="36" customHeight="1">
      <c r="A26" s="379"/>
      <c r="B26" s="379"/>
      <c r="C26" s="32">
        <v>2018</v>
      </c>
      <c r="D26" s="55">
        <f>SUM(E26:I26)</f>
        <v>1.5</v>
      </c>
      <c r="E26" s="55"/>
      <c r="F26" s="55"/>
      <c r="G26" s="55"/>
      <c r="H26" s="60"/>
      <c r="I26" s="55">
        <v>1.5</v>
      </c>
      <c r="J26" s="133"/>
      <c r="K26" s="375"/>
      <c r="L26" s="360"/>
      <c r="M26" s="364"/>
      <c r="N26" t="s">
        <v>39</v>
      </c>
      <c r="P26" t="s">
        <v>39</v>
      </c>
    </row>
    <row r="27" spans="1:13" ht="35.25" customHeight="1">
      <c r="A27" s="379"/>
      <c r="B27" s="379"/>
      <c r="C27" s="32">
        <v>2019</v>
      </c>
      <c r="D27" s="55">
        <f>SUM(E27:I27)</f>
        <v>1.5</v>
      </c>
      <c r="E27" s="55"/>
      <c r="F27" s="55"/>
      <c r="G27" s="55"/>
      <c r="H27" s="60"/>
      <c r="I27" s="55">
        <v>1.5</v>
      </c>
      <c r="J27" s="133"/>
      <c r="K27" s="375"/>
      <c r="L27" s="360"/>
      <c r="M27" s="364"/>
    </row>
    <row r="28" spans="1:13" ht="51" customHeight="1">
      <c r="A28" s="379"/>
      <c r="B28" s="379"/>
      <c r="C28" s="180">
        <v>2020</v>
      </c>
      <c r="D28" s="55">
        <f>SUM(E28:I28)</f>
        <v>1.5</v>
      </c>
      <c r="E28" s="55"/>
      <c r="F28" s="55"/>
      <c r="G28" s="55"/>
      <c r="H28" s="60"/>
      <c r="I28" s="55">
        <v>1.5</v>
      </c>
      <c r="J28" s="133"/>
      <c r="K28" s="375"/>
      <c r="L28" s="360"/>
      <c r="M28" s="364"/>
    </row>
    <row r="29" spans="1:13" ht="51" customHeight="1">
      <c r="A29" s="379"/>
      <c r="B29" s="379"/>
      <c r="C29" s="131">
        <v>2021</v>
      </c>
      <c r="D29" s="55">
        <f>I29</f>
        <v>0</v>
      </c>
      <c r="E29" s="55"/>
      <c r="F29" s="55"/>
      <c r="G29" s="55"/>
      <c r="H29" s="60"/>
      <c r="I29" s="55">
        <v>0</v>
      </c>
      <c r="J29" s="134"/>
      <c r="K29" s="375"/>
      <c r="L29" s="360"/>
      <c r="M29" s="364"/>
    </row>
    <row r="30" spans="1:13" ht="40.5" customHeight="1">
      <c r="A30" s="379"/>
      <c r="B30" s="379"/>
      <c r="C30" s="32">
        <v>2022</v>
      </c>
      <c r="D30" s="55">
        <f>I30</f>
        <v>0</v>
      </c>
      <c r="E30" s="55"/>
      <c r="F30" s="55"/>
      <c r="G30" s="55"/>
      <c r="H30" s="60"/>
      <c r="I30" s="55">
        <v>0</v>
      </c>
      <c r="J30" s="134"/>
      <c r="K30" s="376"/>
      <c r="L30" s="361"/>
      <c r="M30" s="365"/>
    </row>
    <row r="31" spans="1:13" ht="15.75" customHeight="1">
      <c r="A31" s="356" t="s">
        <v>122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8"/>
    </row>
    <row r="32" spans="1:13" ht="32.25" customHeight="1">
      <c r="A32" s="363" t="s">
        <v>123</v>
      </c>
      <c r="B32" s="363" t="s">
        <v>124</v>
      </c>
      <c r="C32" s="59">
        <v>2017</v>
      </c>
      <c r="D32" s="60">
        <f>I32</f>
        <v>7.6</v>
      </c>
      <c r="E32" s="60"/>
      <c r="F32" s="60"/>
      <c r="G32" s="60"/>
      <c r="H32" s="60"/>
      <c r="I32" s="60">
        <v>7.6</v>
      </c>
      <c r="J32" s="133"/>
      <c r="K32" s="369" t="s">
        <v>71</v>
      </c>
      <c r="L32" s="359"/>
      <c r="M32" s="359" t="s">
        <v>125</v>
      </c>
    </row>
    <row r="33" spans="1:14" ht="35.25" customHeight="1">
      <c r="A33" s="364"/>
      <c r="B33" s="364"/>
      <c r="C33" s="32">
        <v>2018</v>
      </c>
      <c r="D33" s="55">
        <f aca="true" t="shared" si="0" ref="D33:D89">SUM(E33:I33)</f>
        <v>1.75</v>
      </c>
      <c r="E33" s="55"/>
      <c r="F33" s="55"/>
      <c r="G33" s="55"/>
      <c r="H33" s="60"/>
      <c r="I33" s="55">
        <v>1.75</v>
      </c>
      <c r="J33" s="133"/>
      <c r="K33" s="375"/>
      <c r="L33" s="360"/>
      <c r="M33" s="360"/>
      <c r="N33" t="s">
        <v>39</v>
      </c>
    </row>
    <row r="34" spans="1:15" ht="35.25" customHeight="1">
      <c r="A34" s="364"/>
      <c r="B34" s="364"/>
      <c r="C34" s="32">
        <v>2019</v>
      </c>
      <c r="D34" s="55">
        <f t="shared" si="0"/>
        <v>7.6</v>
      </c>
      <c r="E34" s="55"/>
      <c r="F34" s="55"/>
      <c r="G34" s="55"/>
      <c r="H34" s="60"/>
      <c r="I34" s="55">
        <v>7.6</v>
      </c>
      <c r="J34" s="133"/>
      <c r="K34" s="375"/>
      <c r="L34" s="360"/>
      <c r="M34" s="360"/>
      <c r="O34" s="4"/>
    </row>
    <row r="35" spans="1:20" ht="35.25" customHeight="1">
      <c r="A35" s="364"/>
      <c r="B35" s="364"/>
      <c r="C35" s="61">
        <v>2020</v>
      </c>
      <c r="D35" s="55">
        <f t="shared" si="0"/>
        <v>7.6</v>
      </c>
      <c r="E35" s="55"/>
      <c r="F35" s="55"/>
      <c r="G35" s="55"/>
      <c r="H35" s="60"/>
      <c r="I35" s="55">
        <v>7.6</v>
      </c>
      <c r="J35" s="133"/>
      <c r="K35" s="375"/>
      <c r="L35" s="360"/>
      <c r="M35" s="360"/>
      <c r="T35" t="s">
        <v>39</v>
      </c>
    </row>
    <row r="36" spans="1:13" ht="35.25" customHeight="1">
      <c r="A36" s="364"/>
      <c r="B36" s="364"/>
      <c r="C36" s="132">
        <v>2021</v>
      </c>
      <c r="D36" s="55">
        <f>I36</f>
        <v>7.6</v>
      </c>
      <c r="E36" s="55"/>
      <c r="F36" s="55"/>
      <c r="G36" s="55"/>
      <c r="H36" s="60"/>
      <c r="I36" s="55">
        <v>7.6</v>
      </c>
      <c r="J36" s="134"/>
      <c r="K36" s="375"/>
      <c r="L36" s="360"/>
      <c r="M36" s="360"/>
    </row>
    <row r="37" spans="1:13" ht="35.25" customHeight="1">
      <c r="A37" s="365"/>
      <c r="B37" s="365"/>
      <c r="C37" s="61">
        <v>2022</v>
      </c>
      <c r="D37" s="55">
        <f>I37</f>
        <v>7.6000000000000005</v>
      </c>
      <c r="E37" s="55"/>
      <c r="F37" s="55"/>
      <c r="G37" s="55"/>
      <c r="H37" s="60"/>
      <c r="I37" s="55">
        <f>I42+I48+I54</f>
        <v>7.6000000000000005</v>
      </c>
      <c r="J37" s="134"/>
      <c r="K37" s="376"/>
      <c r="L37" s="361"/>
      <c r="M37" s="360"/>
    </row>
    <row r="38" spans="1:13" ht="35.25" customHeight="1">
      <c r="A38" s="363" t="s">
        <v>63</v>
      </c>
      <c r="B38" s="363" t="s">
        <v>126</v>
      </c>
      <c r="C38" s="61">
        <v>2017</v>
      </c>
      <c r="D38" s="55">
        <f>I38</f>
        <v>6.4</v>
      </c>
      <c r="E38" s="55"/>
      <c r="F38" s="55"/>
      <c r="G38" s="55"/>
      <c r="H38" s="60"/>
      <c r="I38" s="55">
        <v>6.4</v>
      </c>
      <c r="J38" s="133"/>
      <c r="K38" s="369" t="s">
        <v>71</v>
      </c>
      <c r="L38" s="359"/>
      <c r="M38" s="360"/>
    </row>
    <row r="39" spans="1:17" ht="35.25" customHeight="1">
      <c r="A39" s="364"/>
      <c r="B39" s="364"/>
      <c r="C39" s="32">
        <v>2018</v>
      </c>
      <c r="D39" s="55">
        <f t="shared" si="0"/>
        <v>0</v>
      </c>
      <c r="E39" s="55"/>
      <c r="F39" s="55"/>
      <c r="G39" s="55"/>
      <c r="H39" s="60"/>
      <c r="I39" s="55">
        <v>0</v>
      </c>
      <c r="J39" s="133"/>
      <c r="K39" s="375"/>
      <c r="L39" s="360"/>
      <c r="M39" s="360"/>
      <c r="Q39" t="s">
        <v>39</v>
      </c>
    </row>
    <row r="40" spans="1:13" ht="35.25" customHeight="1">
      <c r="A40" s="364"/>
      <c r="B40" s="364"/>
      <c r="C40" s="32">
        <v>2019</v>
      </c>
      <c r="D40" s="55">
        <f t="shared" si="0"/>
        <v>3</v>
      </c>
      <c r="E40" s="55"/>
      <c r="F40" s="55"/>
      <c r="G40" s="55"/>
      <c r="H40" s="60"/>
      <c r="I40" s="55">
        <v>3</v>
      </c>
      <c r="J40" s="133"/>
      <c r="K40" s="375"/>
      <c r="L40" s="360"/>
      <c r="M40" s="360"/>
    </row>
    <row r="41" spans="1:13" ht="35.25" customHeight="1">
      <c r="A41" s="364"/>
      <c r="B41" s="364"/>
      <c r="C41" s="61">
        <v>2020</v>
      </c>
      <c r="D41" s="55">
        <f t="shared" si="0"/>
        <v>3</v>
      </c>
      <c r="E41" s="55"/>
      <c r="F41" s="55"/>
      <c r="G41" s="55"/>
      <c r="H41" s="60"/>
      <c r="I41" s="55">
        <v>3</v>
      </c>
      <c r="J41" s="133"/>
      <c r="K41" s="375"/>
      <c r="L41" s="360"/>
      <c r="M41" s="360"/>
    </row>
    <row r="42" spans="1:13" ht="35.25" customHeight="1">
      <c r="A42" s="364"/>
      <c r="B42" s="364"/>
      <c r="C42" s="61">
        <v>2021</v>
      </c>
      <c r="D42" s="55">
        <f>I42</f>
        <v>3</v>
      </c>
      <c r="E42" s="55"/>
      <c r="F42" s="55"/>
      <c r="G42" s="55"/>
      <c r="H42" s="60"/>
      <c r="I42" s="55">
        <v>3</v>
      </c>
      <c r="J42" s="134"/>
      <c r="K42" s="376"/>
      <c r="L42" s="361"/>
      <c r="M42" s="360"/>
    </row>
    <row r="43" spans="1:13" ht="35.25" customHeight="1">
      <c r="A43" s="365"/>
      <c r="B43" s="365"/>
      <c r="C43" s="132">
        <v>2022</v>
      </c>
      <c r="D43" s="55">
        <f>I43</f>
        <v>3</v>
      </c>
      <c r="E43" s="55"/>
      <c r="F43" s="55"/>
      <c r="G43" s="55"/>
      <c r="H43" s="60"/>
      <c r="I43" s="55">
        <v>3</v>
      </c>
      <c r="J43" s="134"/>
      <c r="K43" s="128"/>
      <c r="L43" s="129"/>
      <c r="M43" s="360"/>
    </row>
    <row r="44" spans="1:13" ht="35.25" customHeight="1">
      <c r="A44" s="363" t="s">
        <v>127</v>
      </c>
      <c r="B44" s="363" t="s">
        <v>128</v>
      </c>
      <c r="C44" s="61">
        <v>2017</v>
      </c>
      <c r="D44" s="55">
        <f>I44</f>
        <v>0</v>
      </c>
      <c r="E44" s="55"/>
      <c r="F44" s="55"/>
      <c r="G44" s="55"/>
      <c r="H44" s="60"/>
      <c r="I44" s="55">
        <v>0</v>
      </c>
      <c r="J44" s="134"/>
      <c r="K44" s="369" t="s">
        <v>71</v>
      </c>
      <c r="L44" s="359"/>
      <c r="M44" s="360"/>
    </row>
    <row r="45" spans="1:13" ht="35.25" customHeight="1">
      <c r="A45" s="364"/>
      <c r="B45" s="364"/>
      <c r="C45" s="32">
        <v>2018</v>
      </c>
      <c r="D45" s="55">
        <f t="shared" si="0"/>
        <v>1.75</v>
      </c>
      <c r="E45" s="55"/>
      <c r="F45" s="55"/>
      <c r="G45" s="55"/>
      <c r="H45" s="60"/>
      <c r="I45" s="55">
        <v>1.75</v>
      </c>
      <c r="J45" s="133"/>
      <c r="K45" s="375"/>
      <c r="L45" s="360"/>
      <c r="M45" s="360"/>
    </row>
    <row r="46" spans="1:18" ht="35.25" customHeight="1">
      <c r="A46" s="364"/>
      <c r="B46" s="364"/>
      <c r="C46" s="32">
        <v>2019</v>
      </c>
      <c r="D46" s="55">
        <f t="shared" si="0"/>
        <v>0</v>
      </c>
      <c r="E46" s="55"/>
      <c r="F46" s="55"/>
      <c r="G46" s="55"/>
      <c r="H46" s="58"/>
      <c r="I46" s="55">
        <v>0</v>
      </c>
      <c r="J46" s="133"/>
      <c r="K46" s="375"/>
      <c r="L46" s="360"/>
      <c r="M46" s="360"/>
      <c r="Q46" t="s">
        <v>39</v>
      </c>
      <c r="R46" t="s">
        <v>39</v>
      </c>
    </row>
    <row r="47" spans="1:13" ht="35.25" customHeight="1">
      <c r="A47" s="364"/>
      <c r="B47" s="364"/>
      <c r="C47" s="61">
        <v>2020</v>
      </c>
      <c r="D47" s="55">
        <f t="shared" si="0"/>
        <v>2.4</v>
      </c>
      <c r="E47" s="55"/>
      <c r="F47" s="55"/>
      <c r="G47" s="55"/>
      <c r="H47" s="58"/>
      <c r="I47" s="55">
        <v>2.4</v>
      </c>
      <c r="J47" s="133"/>
      <c r="K47" s="375"/>
      <c r="L47" s="360"/>
      <c r="M47" s="360"/>
    </row>
    <row r="48" spans="1:13" ht="35.25" customHeight="1">
      <c r="A48" s="364"/>
      <c r="B48" s="364"/>
      <c r="C48" s="61">
        <v>2021</v>
      </c>
      <c r="D48" s="55">
        <f>I48</f>
        <v>2.4</v>
      </c>
      <c r="E48" s="55"/>
      <c r="F48" s="55"/>
      <c r="G48" s="55"/>
      <c r="H48" s="58"/>
      <c r="I48" s="55">
        <v>2.4</v>
      </c>
      <c r="J48" s="133"/>
      <c r="K48" s="375"/>
      <c r="L48" s="360"/>
      <c r="M48" s="360"/>
    </row>
    <row r="49" spans="1:13" ht="35.25" customHeight="1">
      <c r="A49" s="365"/>
      <c r="B49" s="365"/>
      <c r="C49" s="132">
        <v>2022</v>
      </c>
      <c r="D49" s="55">
        <f>I49</f>
        <v>2.4</v>
      </c>
      <c r="E49" s="55"/>
      <c r="F49" s="55"/>
      <c r="G49" s="55"/>
      <c r="H49" s="58"/>
      <c r="I49" s="55">
        <v>2.4</v>
      </c>
      <c r="J49" s="133"/>
      <c r="K49" s="376"/>
      <c r="L49" s="361"/>
      <c r="M49" s="360"/>
    </row>
    <row r="50" spans="1:13" ht="35.25" customHeight="1">
      <c r="A50" s="363" t="s">
        <v>129</v>
      </c>
      <c r="B50" s="363" t="s">
        <v>130</v>
      </c>
      <c r="C50" s="61">
        <v>2017</v>
      </c>
      <c r="D50" s="55">
        <f>I50</f>
        <v>1.2</v>
      </c>
      <c r="E50" s="55"/>
      <c r="F50" s="55"/>
      <c r="G50" s="55"/>
      <c r="H50" s="58"/>
      <c r="I50" s="55">
        <v>1.2</v>
      </c>
      <c r="J50" s="133"/>
      <c r="K50" s="369" t="s">
        <v>71</v>
      </c>
      <c r="L50" s="359"/>
      <c r="M50" s="360"/>
    </row>
    <row r="51" spans="1:13" ht="35.25" customHeight="1">
      <c r="A51" s="364"/>
      <c r="B51" s="364"/>
      <c r="C51" s="32">
        <v>2018</v>
      </c>
      <c r="D51" s="55">
        <f t="shared" si="0"/>
        <v>0</v>
      </c>
      <c r="E51" s="55"/>
      <c r="F51" s="55"/>
      <c r="G51" s="55"/>
      <c r="H51" s="58"/>
      <c r="I51" s="55">
        <v>0</v>
      </c>
      <c r="J51" s="133"/>
      <c r="K51" s="375"/>
      <c r="L51" s="360"/>
      <c r="M51" s="360"/>
    </row>
    <row r="52" spans="1:13" ht="35.25" customHeight="1">
      <c r="A52" s="364"/>
      <c r="B52" s="364"/>
      <c r="C52" s="32">
        <v>2019</v>
      </c>
      <c r="D52" s="55">
        <f t="shared" si="0"/>
        <v>4.6</v>
      </c>
      <c r="E52" s="55"/>
      <c r="F52" s="55"/>
      <c r="G52" s="55"/>
      <c r="H52" s="58"/>
      <c r="I52" s="55">
        <f>2.2+2.4</f>
        <v>4.6</v>
      </c>
      <c r="J52" s="133"/>
      <c r="K52" s="375"/>
      <c r="L52" s="360"/>
      <c r="M52" s="360"/>
    </row>
    <row r="53" spans="1:21" ht="35.25" customHeight="1">
      <c r="A53" s="364"/>
      <c r="B53" s="364"/>
      <c r="C53" s="61">
        <v>2020</v>
      </c>
      <c r="D53" s="55">
        <f t="shared" si="0"/>
        <v>2.2</v>
      </c>
      <c r="E53" s="55"/>
      <c r="F53" s="55"/>
      <c r="G53" s="55"/>
      <c r="H53" s="58"/>
      <c r="I53" s="55">
        <v>2.2</v>
      </c>
      <c r="J53" s="133"/>
      <c r="K53" s="375"/>
      <c r="L53" s="360"/>
      <c r="M53" s="360"/>
      <c r="U53" t="s">
        <v>39</v>
      </c>
    </row>
    <row r="54" spans="1:13" ht="35.25" customHeight="1">
      <c r="A54" s="364"/>
      <c r="B54" s="364"/>
      <c r="C54" s="61">
        <v>2021</v>
      </c>
      <c r="D54" s="55">
        <f>I54</f>
        <v>2.2</v>
      </c>
      <c r="E54" s="55"/>
      <c r="F54" s="55"/>
      <c r="G54" s="55"/>
      <c r="H54" s="58"/>
      <c r="I54" s="55">
        <v>2.2</v>
      </c>
      <c r="J54" s="134"/>
      <c r="K54" s="375"/>
      <c r="L54" s="360"/>
      <c r="M54" s="360"/>
    </row>
    <row r="55" spans="1:13" ht="35.25" customHeight="1">
      <c r="A55" s="365"/>
      <c r="B55" s="365"/>
      <c r="C55" s="132">
        <v>2022</v>
      </c>
      <c r="D55" s="55">
        <f>I55</f>
        <v>2.2</v>
      </c>
      <c r="E55" s="55"/>
      <c r="F55" s="55"/>
      <c r="G55" s="55"/>
      <c r="H55" s="58"/>
      <c r="I55" s="55">
        <v>2.2</v>
      </c>
      <c r="J55" s="134"/>
      <c r="K55" s="376"/>
      <c r="L55" s="361"/>
      <c r="M55" s="360"/>
    </row>
    <row r="56" spans="1:13" ht="35.25" customHeight="1">
      <c r="A56" s="363" t="s">
        <v>131</v>
      </c>
      <c r="B56" s="363" t="s">
        <v>132</v>
      </c>
      <c r="C56" s="61">
        <v>2017</v>
      </c>
      <c r="D56" s="55">
        <f>I56</f>
        <v>0</v>
      </c>
      <c r="E56" s="55"/>
      <c r="F56" s="55"/>
      <c r="G56" s="55"/>
      <c r="H56" s="58"/>
      <c r="I56" s="55">
        <v>0</v>
      </c>
      <c r="J56" s="133"/>
      <c r="K56" s="369" t="s">
        <v>71</v>
      </c>
      <c r="L56" s="359"/>
      <c r="M56" s="360"/>
    </row>
    <row r="57" spans="1:13" ht="35.25" customHeight="1">
      <c r="A57" s="364"/>
      <c r="B57" s="364"/>
      <c r="C57" s="32">
        <v>2018</v>
      </c>
      <c r="D57" s="55">
        <f t="shared" si="0"/>
        <v>0</v>
      </c>
      <c r="E57" s="55"/>
      <c r="F57" s="55"/>
      <c r="G57" s="55"/>
      <c r="H57" s="58"/>
      <c r="I57" s="55">
        <v>0</v>
      </c>
      <c r="J57" s="133"/>
      <c r="K57" s="375"/>
      <c r="L57" s="360"/>
      <c r="M57" s="360"/>
    </row>
    <row r="58" spans="1:13" ht="35.25" customHeight="1">
      <c r="A58" s="364"/>
      <c r="B58" s="364"/>
      <c r="C58" s="32">
        <v>2019</v>
      </c>
      <c r="D58" s="55">
        <f t="shared" si="0"/>
        <v>0</v>
      </c>
      <c r="E58" s="55"/>
      <c r="F58" s="55"/>
      <c r="G58" s="55"/>
      <c r="H58" s="58"/>
      <c r="I58" s="55">
        <v>0</v>
      </c>
      <c r="J58" s="133"/>
      <c r="K58" s="375"/>
      <c r="L58" s="360"/>
      <c r="M58" s="360"/>
    </row>
    <row r="59" spans="1:16" ht="35.25" customHeight="1">
      <c r="A59" s="364"/>
      <c r="B59" s="364"/>
      <c r="C59" s="61">
        <v>2020</v>
      </c>
      <c r="D59" s="55">
        <f t="shared" si="0"/>
        <v>0</v>
      </c>
      <c r="E59" s="55"/>
      <c r="F59" s="55"/>
      <c r="G59" s="55"/>
      <c r="H59" s="58"/>
      <c r="I59" s="55">
        <v>0</v>
      </c>
      <c r="J59" s="133"/>
      <c r="K59" s="375"/>
      <c r="L59" s="360"/>
      <c r="M59" s="360"/>
      <c r="P59" t="s">
        <v>39</v>
      </c>
    </row>
    <row r="60" spans="1:13" ht="35.25" customHeight="1">
      <c r="A60" s="364"/>
      <c r="B60" s="364"/>
      <c r="C60" s="61">
        <v>2021</v>
      </c>
      <c r="D60" s="55">
        <v>0</v>
      </c>
      <c r="E60" s="55"/>
      <c r="F60" s="55"/>
      <c r="G60" s="55"/>
      <c r="H60" s="58"/>
      <c r="I60" s="55">
        <v>0</v>
      </c>
      <c r="J60" s="134"/>
      <c r="K60" s="375"/>
      <c r="L60" s="360"/>
      <c r="M60" s="360"/>
    </row>
    <row r="61" spans="1:13" ht="35.25" customHeight="1">
      <c r="A61" s="365"/>
      <c r="B61" s="365"/>
      <c r="C61" s="132">
        <v>2022</v>
      </c>
      <c r="D61" s="55">
        <f>I601</f>
        <v>0</v>
      </c>
      <c r="E61" s="55"/>
      <c r="F61" s="55"/>
      <c r="G61" s="55"/>
      <c r="H61" s="58"/>
      <c r="I61" s="55">
        <v>0</v>
      </c>
      <c r="J61" s="134"/>
      <c r="K61" s="376"/>
      <c r="L61" s="361"/>
      <c r="M61" s="360"/>
    </row>
    <row r="62" spans="1:13" ht="35.25" customHeight="1">
      <c r="A62" s="363" t="s">
        <v>133</v>
      </c>
      <c r="B62" s="363" t="s">
        <v>134</v>
      </c>
      <c r="C62" s="61">
        <v>2017</v>
      </c>
      <c r="D62" s="55">
        <f>I62</f>
        <v>0</v>
      </c>
      <c r="E62" s="55"/>
      <c r="F62" s="55"/>
      <c r="G62" s="55"/>
      <c r="H62" s="58"/>
      <c r="I62" s="55">
        <v>0</v>
      </c>
      <c r="J62" s="133"/>
      <c r="K62" s="369" t="s">
        <v>71</v>
      </c>
      <c r="L62" s="359"/>
      <c r="M62" s="360"/>
    </row>
    <row r="63" spans="1:13" ht="35.25" customHeight="1">
      <c r="A63" s="364"/>
      <c r="B63" s="364"/>
      <c r="C63" s="32">
        <v>2018</v>
      </c>
      <c r="D63" s="55">
        <f t="shared" si="0"/>
        <v>0</v>
      </c>
      <c r="E63" s="55"/>
      <c r="F63" s="55"/>
      <c r="G63" s="55"/>
      <c r="H63" s="58"/>
      <c r="I63" s="55">
        <v>0</v>
      </c>
      <c r="J63" s="133"/>
      <c r="K63" s="375"/>
      <c r="L63" s="360"/>
      <c r="M63" s="360"/>
    </row>
    <row r="64" spans="1:15" ht="35.25" customHeight="1">
      <c r="A64" s="364"/>
      <c r="B64" s="364"/>
      <c r="C64" s="32">
        <v>2019</v>
      </c>
      <c r="D64" s="55">
        <f t="shared" si="0"/>
        <v>0</v>
      </c>
      <c r="E64" s="55"/>
      <c r="F64" s="55"/>
      <c r="G64" s="55"/>
      <c r="H64" s="58"/>
      <c r="I64" s="55">
        <v>0</v>
      </c>
      <c r="J64" s="133"/>
      <c r="K64" s="375"/>
      <c r="L64" s="360"/>
      <c r="M64" s="360"/>
      <c r="O64" t="s">
        <v>39</v>
      </c>
    </row>
    <row r="65" spans="1:13" ht="35.25" customHeight="1">
      <c r="A65" s="364"/>
      <c r="B65" s="364"/>
      <c r="C65" s="61">
        <v>2020</v>
      </c>
      <c r="D65" s="55">
        <f t="shared" si="0"/>
        <v>0</v>
      </c>
      <c r="E65" s="55"/>
      <c r="F65" s="55"/>
      <c r="G65" s="55"/>
      <c r="H65" s="58"/>
      <c r="I65" s="55">
        <v>0</v>
      </c>
      <c r="J65" s="133"/>
      <c r="K65" s="375"/>
      <c r="L65" s="360"/>
      <c r="M65" s="360"/>
    </row>
    <row r="66" spans="1:13" ht="35.25" customHeight="1">
      <c r="A66" s="364"/>
      <c r="B66" s="364"/>
      <c r="C66" s="61">
        <v>2021</v>
      </c>
      <c r="D66" s="55">
        <v>0</v>
      </c>
      <c r="E66" s="55"/>
      <c r="F66" s="55"/>
      <c r="G66" s="55"/>
      <c r="H66" s="58"/>
      <c r="I66" s="55">
        <v>0</v>
      </c>
      <c r="J66" s="134"/>
      <c r="K66" s="375"/>
      <c r="L66" s="360"/>
      <c r="M66" s="360"/>
    </row>
    <row r="67" spans="1:13" ht="35.25" customHeight="1">
      <c r="A67" s="365"/>
      <c r="B67" s="365"/>
      <c r="C67" s="132">
        <v>2022</v>
      </c>
      <c r="D67" s="55">
        <f>I652</f>
        <v>0</v>
      </c>
      <c r="E67" s="55"/>
      <c r="F67" s="55"/>
      <c r="G67" s="55"/>
      <c r="H67" s="58"/>
      <c r="I67" s="55">
        <v>0</v>
      </c>
      <c r="J67" s="134"/>
      <c r="K67" s="376"/>
      <c r="L67" s="361"/>
      <c r="M67" s="360"/>
    </row>
    <row r="68" spans="1:13" ht="35.25" customHeight="1">
      <c r="A68" s="363" t="s">
        <v>135</v>
      </c>
      <c r="B68" s="363" t="s">
        <v>136</v>
      </c>
      <c r="C68" s="61">
        <v>2017</v>
      </c>
      <c r="D68" s="55">
        <f>I68</f>
        <v>0</v>
      </c>
      <c r="E68" s="55"/>
      <c r="F68" s="55"/>
      <c r="G68" s="55"/>
      <c r="H68" s="58"/>
      <c r="I68" s="55">
        <v>0</v>
      </c>
      <c r="J68" s="133"/>
      <c r="K68" s="369" t="s">
        <v>71</v>
      </c>
      <c r="L68" s="359"/>
      <c r="M68" s="360"/>
    </row>
    <row r="69" spans="1:13" ht="35.25" customHeight="1">
      <c r="A69" s="364"/>
      <c r="B69" s="364"/>
      <c r="C69" s="32">
        <v>2018</v>
      </c>
      <c r="D69" s="55">
        <f t="shared" si="0"/>
        <v>0</v>
      </c>
      <c r="E69" s="55"/>
      <c r="F69" s="55"/>
      <c r="G69" s="55"/>
      <c r="H69" s="58"/>
      <c r="I69" s="55">
        <v>0</v>
      </c>
      <c r="J69" s="133"/>
      <c r="K69" s="375"/>
      <c r="L69" s="360"/>
      <c r="M69" s="360"/>
    </row>
    <row r="70" spans="1:15" ht="35.25" customHeight="1">
      <c r="A70" s="364"/>
      <c r="B70" s="364"/>
      <c r="C70" s="32">
        <v>2019</v>
      </c>
      <c r="D70" s="55">
        <f t="shared" si="0"/>
        <v>0</v>
      </c>
      <c r="E70" s="55"/>
      <c r="F70" s="55"/>
      <c r="G70" s="55"/>
      <c r="H70" s="58"/>
      <c r="I70" s="55">
        <v>0</v>
      </c>
      <c r="J70" s="133"/>
      <c r="K70" s="375"/>
      <c r="L70" s="360"/>
      <c r="M70" s="360"/>
      <c r="O70" t="s">
        <v>39</v>
      </c>
    </row>
    <row r="71" spans="1:13" ht="35.25" customHeight="1">
      <c r="A71" s="364"/>
      <c r="B71" s="364"/>
      <c r="C71" s="61">
        <v>2020</v>
      </c>
      <c r="D71" s="55">
        <f t="shared" si="0"/>
        <v>0</v>
      </c>
      <c r="E71" s="55"/>
      <c r="F71" s="55"/>
      <c r="G71" s="55"/>
      <c r="H71" s="58"/>
      <c r="I71" s="55">
        <v>0</v>
      </c>
      <c r="J71" s="133"/>
      <c r="K71" s="375"/>
      <c r="L71" s="360"/>
      <c r="M71" s="360"/>
    </row>
    <row r="72" spans="1:13" ht="35.25" customHeight="1">
      <c r="A72" s="364"/>
      <c r="B72" s="364"/>
      <c r="C72" s="61">
        <v>2021</v>
      </c>
      <c r="D72" s="55">
        <v>0</v>
      </c>
      <c r="E72" s="55"/>
      <c r="F72" s="55"/>
      <c r="G72" s="55"/>
      <c r="H72" s="58"/>
      <c r="I72" s="55">
        <v>0</v>
      </c>
      <c r="J72" s="134"/>
      <c r="K72" s="375"/>
      <c r="L72" s="360"/>
      <c r="M72" s="360"/>
    </row>
    <row r="73" spans="1:13" ht="35.25" customHeight="1">
      <c r="A73" s="365"/>
      <c r="B73" s="365"/>
      <c r="C73" s="132">
        <v>2022</v>
      </c>
      <c r="D73" s="55">
        <f>I73</f>
        <v>0</v>
      </c>
      <c r="E73" s="55"/>
      <c r="F73" s="55"/>
      <c r="G73" s="55"/>
      <c r="H73" s="58"/>
      <c r="I73" s="55">
        <v>0</v>
      </c>
      <c r="J73" s="134"/>
      <c r="K73" s="376"/>
      <c r="L73" s="361"/>
      <c r="M73" s="360"/>
    </row>
    <row r="74" spans="1:13" ht="35.25" customHeight="1">
      <c r="A74" s="363" t="s">
        <v>137</v>
      </c>
      <c r="B74" s="363" t="s">
        <v>138</v>
      </c>
      <c r="C74" s="61">
        <v>2017</v>
      </c>
      <c r="D74" s="55">
        <f>I74</f>
        <v>0</v>
      </c>
      <c r="E74" s="55"/>
      <c r="F74" s="55"/>
      <c r="G74" s="55"/>
      <c r="H74" s="58"/>
      <c r="I74" s="55">
        <v>0</v>
      </c>
      <c r="J74" s="133"/>
      <c r="K74" s="369" t="s">
        <v>71</v>
      </c>
      <c r="L74" s="359"/>
      <c r="M74" s="360"/>
    </row>
    <row r="75" spans="1:13" ht="35.25" customHeight="1">
      <c r="A75" s="364"/>
      <c r="B75" s="364"/>
      <c r="C75" s="32">
        <v>2018</v>
      </c>
      <c r="D75" s="55">
        <f t="shared" si="0"/>
        <v>0</v>
      </c>
      <c r="E75" s="55"/>
      <c r="F75" s="55"/>
      <c r="G75" s="55"/>
      <c r="H75" s="58"/>
      <c r="I75" s="55">
        <v>0</v>
      </c>
      <c r="J75" s="133"/>
      <c r="K75" s="375"/>
      <c r="L75" s="360"/>
      <c r="M75" s="360"/>
    </row>
    <row r="76" spans="1:14" ht="35.25" customHeight="1">
      <c r="A76" s="364"/>
      <c r="B76" s="364"/>
      <c r="C76" s="32">
        <v>2019</v>
      </c>
      <c r="D76" s="55">
        <f t="shared" si="0"/>
        <v>0</v>
      </c>
      <c r="E76" s="55"/>
      <c r="F76" s="55"/>
      <c r="G76" s="55"/>
      <c r="H76" s="58"/>
      <c r="I76" s="55">
        <v>0</v>
      </c>
      <c r="J76" s="133"/>
      <c r="K76" s="375"/>
      <c r="L76" s="360"/>
      <c r="M76" s="360"/>
      <c r="N76" t="s">
        <v>39</v>
      </c>
    </row>
    <row r="77" spans="1:13" ht="35.25" customHeight="1">
      <c r="A77" s="364"/>
      <c r="B77" s="364"/>
      <c r="C77" s="61">
        <v>2020</v>
      </c>
      <c r="D77" s="55">
        <f t="shared" si="0"/>
        <v>0</v>
      </c>
      <c r="E77" s="55"/>
      <c r="F77" s="55"/>
      <c r="G77" s="55"/>
      <c r="H77" s="58"/>
      <c r="I77" s="55">
        <v>0</v>
      </c>
      <c r="J77" s="133"/>
      <c r="K77" s="375"/>
      <c r="L77" s="360"/>
      <c r="M77" s="360"/>
    </row>
    <row r="78" spans="1:13" ht="35.25" customHeight="1">
      <c r="A78" s="364"/>
      <c r="B78" s="364"/>
      <c r="C78" s="61">
        <v>2021</v>
      </c>
      <c r="D78" s="55">
        <v>0</v>
      </c>
      <c r="E78" s="55"/>
      <c r="F78" s="55"/>
      <c r="G78" s="55"/>
      <c r="H78" s="58"/>
      <c r="I78" s="55">
        <v>0</v>
      </c>
      <c r="J78" s="134"/>
      <c r="K78" s="375"/>
      <c r="L78" s="360"/>
      <c r="M78" s="360"/>
    </row>
    <row r="79" spans="1:13" ht="35.25" customHeight="1">
      <c r="A79" s="365"/>
      <c r="B79" s="365"/>
      <c r="C79" s="132">
        <v>2022</v>
      </c>
      <c r="D79" s="55">
        <f>I79</f>
        <v>0</v>
      </c>
      <c r="E79" s="55"/>
      <c r="F79" s="55"/>
      <c r="G79" s="55"/>
      <c r="H79" s="58"/>
      <c r="I79" s="55">
        <v>0</v>
      </c>
      <c r="J79" s="134"/>
      <c r="K79" s="376"/>
      <c r="L79" s="361"/>
      <c r="M79" s="360"/>
    </row>
    <row r="80" spans="1:13" ht="35.25" customHeight="1">
      <c r="A80" s="363" t="s">
        <v>139</v>
      </c>
      <c r="B80" s="363" t="s">
        <v>140</v>
      </c>
      <c r="C80" s="61">
        <v>2017</v>
      </c>
      <c r="D80" s="55">
        <f>I80</f>
        <v>0</v>
      </c>
      <c r="E80" s="55"/>
      <c r="F80" s="55"/>
      <c r="G80" s="55"/>
      <c r="H80" s="58"/>
      <c r="I80" s="55">
        <v>0</v>
      </c>
      <c r="J80" s="133"/>
      <c r="K80" s="369" t="s">
        <v>71</v>
      </c>
      <c r="L80" s="359"/>
      <c r="M80" s="360"/>
    </row>
    <row r="81" spans="1:13" ht="35.25" customHeight="1">
      <c r="A81" s="364"/>
      <c r="B81" s="364"/>
      <c r="C81" s="32">
        <v>2018</v>
      </c>
      <c r="D81" s="55">
        <f t="shared" si="0"/>
        <v>0</v>
      </c>
      <c r="E81" s="55"/>
      <c r="F81" s="55"/>
      <c r="G81" s="55"/>
      <c r="H81" s="58"/>
      <c r="I81" s="55">
        <v>0</v>
      </c>
      <c r="J81" s="133"/>
      <c r="K81" s="375"/>
      <c r="L81" s="360"/>
      <c r="M81" s="360"/>
    </row>
    <row r="82" spans="1:16" ht="35.25" customHeight="1">
      <c r="A82" s="364"/>
      <c r="B82" s="364"/>
      <c r="C82" s="32">
        <v>2019</v>
      </c>
      <c r="D82" s="55">
        <f t="shared" si="0"/>
        <v>0</v>
      </c>
      <c r="E82" s="55"/>
      <c r="F82" s="55"/>
      <c r="G82" s="55"/>
      <c r="H82" s="58"/>
      <c r="I82" s="55">
        <v>0</v>
      </c>
      <c r="J82" s="133"/>
      <c r="K82" s="375"/>
      <c r="L82" s="360"/>
      <c r="M82" s="360"/>
      <c r="P82" t="s">
        <v>39</v>
      </c>
    </row>
    <row r="83" spans="1:13" ht="35.25" customHeight="1">
      <c r="A83" s="364"/>
      <c r="B83" s="364"/>
      <c r="C83" s="61">
        <v>2020</v>
      </c>
      <c r="D83" s="55">
        <f t="shared" si="0"/>
        <v>0</v>
      </c>
      <c r="E83" s="55"/>
      <c r="F83" s="55"/>
      <c r="G83" s="55"/>
      <c r="H83" s="58"/>
      <c r="I83" s="55">
        <v>0</v>
      </c>
      <c r="J83" s="133"/>
      <c r="K83" s="375"/>
      <c r="L83" s="360"/>
      <c r="M83" s="361"/>
    </row>
    <row r="84" spans="1:13" ht="35.25" customHeight="1">
      <c r="A84" s="364"/>
      <c r="B84" s="364"/>
      <c r="C84" s="61">
        <v>2021</v>
      </c>
      <c r="D84" s="55">
        <v>0</v>
      </c>
      <c r="E84" s="55"/>
      <c r="F84" s="55"/>
      <c r="G84" s="55"/>
      <c r="H84" s="58"/>
      <c r="I84" s="55">
        <v>0</v>
      </c>
      <c r="J84" s="133"/>
      <c r="K84" s="375"/>
      <c r="L84" s="360"/>
      <c r="M84" s="62"/>
    </row>
    <row r="85" spans="1:13" ht="35.25" customHeight="1">
      <c r="A85" s="365"/>
      <c r="B85" s="365"/>
      <c r="C85" s="132">
        <v>2022</v>
      </c>
      <c r="D85" s="55">
        <f>I85</f>
        <v>0</v>
      </c>
      <c r="E85" s="55"/>
      <c r="F85" s="55"/>
      <c r="G85" s="55"/>
      <c r="H85" s="58"/>
      <c r="I85" s="55">
        <v>0</v>
      </c>
      <c r="J85" s="133"/>
      <c r="K85" s="375"/>
      <c r="L85" s="360"/>
      <c r="M85" s="130"/>
    </row>
    <row r="86" spans="1:13" ht="16.5" customHeight="1">
      <c r="A86" s="363"/>
      <c r="B86" s="366" t="s">
        <v>75</v>
      </c>
      <c r="C86" s="61">
        <v>2017</v>
      </c>
      <c r="D86" s="55">
        <f>I86</f>
        <v>13.1</v>
      </c>
      <c r="E86" s="55">
        <v>0</v>
      </c>
      <c r="F86" s="55"/>
      <c r="G86" s="55"/>
      <c r="H86" s="60">
        <v>0</v>
      </c>
      <c r="I86" s="55">
        <f>I18+I25+I38+I44+I50+I56+I62+I68+I74+I80</f>
        <v>13.1</v>
      </c>
      <c r="J86" s="31"/>
      <c r="K86" s="376"/>
      <c r="L86" s="361"/>
      <c r="M86" s="62"/>
    </row>
    <row r="87" spans="1:13" ht="15">
      <c r="A87" s="364"/>
      <c r="B87" s="367"/>
      <c r="C87" s="32">
        <v>2018</v>
      </c>
      <c r="D87" s="55">
        <f t="shared" si="0"/>
        <v>7.25</v>
      </c>
      <c r="E87" s="55">
        <f>SUM(E19+E26)</f>
        <v>0</v>
      </c>
      <c r="F87" s="55"/>
      <c r="G87" s="55"/>
      <c r="H87" s="55">
        <f>SUM(H19+H26)</f>
        <v>0</v>
      </c>
      <c r="I87" s="55">
        <f>SUM(I19+I26+I39+I45+I51+I57+I63+I69+I75+I81)</f>
        <v>7.25</v>
      </c>
      <c r="J87" s="32"/>
      <c r="K87" s="369"/>
      <c r="L87" s="370"/>
      <c r="M87" s="355"/>
    </row>
    <row r="88" spans="1:13" ht="15">
      <c r="A88" s="364"/>
      <c r="B88" s="367"/>
      <c r="C88" s="32">
        <v>2019</v>
      </c>
      <c r="D88" s="55">
        <f t="shared" si="0"/>
        <v>13.1</v>
      </c>
      <c r="E88" s="63">
        <f>SUM(E20+E27)</f>
        <v>0</v>
      </c>
      <c r="F88" s="63"/>
      <c r="G88" s="63"/>
      <c r="H88" s="63">
        <f>SUM(H20+H27)</f>
        <v>0</v>
      </c>
      <c r="I88" s="63">
        <f>SUM(I20+I27+I40+I46+I52+I58+I64+I70+I76+I82)</f>
        <v>13.1</v>
      </c>
      <c r="J88" s="32"/>
      <c r="K88" s="371"/>
      <c r="L88" s="372"/>
      <c r="M88" s="355"/>
    </row>
    <row r="89" spans="1:13" ht="15">
      <c r="A89" s="364"/>
      <c r="B89" s="367"/>
      <c r="C89" s="61">
        <v>2020</v>
      </c>
      <c r="D89" s="55">
        <f t="shared" si="0"/>
        <v>13.100000000000001</v>
      </c>
      <c r="E89" s="55">
        <f>SUM(E21+E28)</f>
        <v>0</v>
      </c>
      <c r="F89" s="55"/>
      <c r="G89" s="55"/>
      <c r="H89" s="55">
        <f>SUM(H21+H28)</f>
        <v>0</v>
      </c>
      <c r="I89" s="55">
        <f>SUM(I21+I28+I41+I47+I53+I59+I65+I71+I77+I83)</f>
        <v>13.100000000000001</v>
      </c>
      <c r="J89" s="32"/>
      <c r="K89" s="371"/>
      <c r="L89" s="372"/>
      <c r="M89" s="355"/>
    </row>
    <row r="90" spans="1:13" ht="15">
      <c r="A90" s="364"/>
      <c r="B90" s="367"/>
      <c r="C90" s="61">
        <v>2021</v>
      </c>
      <c r="D90" s="55">
        <f>I90</f>
        <v>11.600000000000001</v>
      </c>
      <c r="E90" s="135">
        <v>0</v>
      </c>
      <c r="F90" s="55"/>
      <c r="G90" s="55"/>
      <c r="H90" s="55">
        <v>0</v>
      </c>
      <c r="I90" s="55">
        <f>I22+I37+I30</f>
        <v>11.600000000000001</v>
      </c>
      <c r="J90" s="32"/>
      <c r="K90" s="371"/>
      <c r="L90" s="372"/>
      <c r="M90" s="355"/>
    </row>
    <row r="91" spans="1:13" ht="15">
      <c r="A91" s="364"/>
      <c r="B91" s="367"/>
      <c r="C91" s="132">
        <v>2022</v>
      </c>
      <c r="D91" s="55">
        <f>I91</f>
        <v>11.6</v>
      </c>
      <c r="E91" s="55">
        <v>0</v>
      </c>
      <c r="F91" s="55"/>
      <c r="G91" s="55"/>
      <c r="H91" s="55">
        <v>0</v>
      </c>
      <c r="I91" s="55">
        <f>I36+I23</f>
        <v>11.6</v>
      </c>
      <c r="J91" s="131"/>
      <c r="K91" s="371"/>
      <c r="L91" s="372"/>
      <c r="M91" s="355"/>
    </row>
    <row r="92" spans="1:13" ht="15">
      <c r="A92" s="365"/>
      <c r="B92" s="368"/>
      <c r="C92" s="131" t="s">
        <v>293</v>
      </c>
      <c r="D92" s="64">
        <f>SUM(D86:D91)</f>
        <v>69.75</v>
      </c>
      <c r="E92" s="64">
        <f>SUM(E87:E89)</f>
        <v>0</v>
      </c>
      <c r="F92" s="64"/>
      <c r="G92" s="64"/>
      <c r="H92" s="64">
        <f>SUM(H87:H89)</f>
        <v>0</v>
      </c>
      <c r="I92" s="64">
        <f>I91+I90+I89+I88+I87+I86</f>
        <v>69.75</v>
      </c>
      <c r="J92" s="32"/>
      <c r="K92" s="373"/>
      <c r="L92" s="374"/>
      <c r="M92" s="355"/>
    </row>
  </sheetData>
  <sheetProtection/>
  <mergeCells count="64">
    <mergeCell ref="A18:A23"/>
    <mergeCell ref="B18:B23"/>
    <mergeCell ref="A25:A30"/>
    <mergeCell ref="B25:B30"/>
    <mergeCell ref="A32:A37"/>
    <mergeCell ref="B32:B37"/>
    <mergeCell ref="K4:M4"/>
    <mergeCell ref="K3:M3"/>
    <mergeCell ref="K18:L23"/>
    <mergeCell ref="M18:M23"/>
    <mergeCell ref="K25:L30"/>
    <mergeCell ref="K32:L37"/>
    <mergeCell ref="K15:L15"/>
    <mergeCell ref="M25:M30"/>
    <mergeCell ref="A17:M17"/>
    <mergeCell ref="D9:D14"/>
    <mergeCell ref="K44:L49"/>
    <mergeCell ref="A80:A85"/>
    <mergeCell ref="K68:L73"/>
    <mergeCell ref="K62:L67"/>
    <mergeCell ref="K56:L61"/>
    <mergeCell ref="K50:L55"/>
    <mergeCell ref="A50:A55"/>
    <mergeCell ref="B50:B55"/>
    <mergeCell ref="A56:A61"/>
    <mergeCell ref="B56:B61"/>
    <mergeCell ref="B62:B67"/>
    <mergeCell ref="K80:L86"/>
    <mergeCell ref="K74:L79"/>
    <mergeCell ref="B80:B85"/>
    <mergeCell ref="A74:A79"/>
    <mergeCell ref="B74:B79"/>
    <mergeCell ref="A68:A73"/>
    <mergeCell ref="B68:B73"/>
    <mergeCell ref="A16:M16"/>
    <mergeCell ref="A86:A92"/>
    <mergeCell ref="B86:B92"/>
    <mergeCell ref="A44:A49"/>
    <mergeCell ref="B44:B49"/>
    <mergeCell ref="K87:L92"/>
    <mergeCell ref="K38:L42"/>
    <mergeCell ref="A38:A43"/>
    <mergeCell ref="B38:B43"/>
    <mergeCell ref="A62:A67"/>
    <mergeCell ref="F12:H12"/>
    <mergeCell ref="B9:B14"/>
    <mergeCell ref="F13:F14"/>
    <mergeCell ref="E9:I10"/>
    <mergeCell ref="J9:J14"/>
    <mergeCell ref="M87:M92"/>
    <mergeCell ref="A24:M24"/>
    <mergeCell ref="A31:M31"/>
    <mergeCell ref="M32:M83"/>
    <mergeCell ref="I12:I14"/>
    <mergeCell ref="K9:L14"/>
    <mergeCell ref="A9:A14"/>
    <mergeCell ref="M9:M14"/>
    <mergeCell ref="E11:E14"/>
    <mergeCell ref="G13:H13"/>
    <mergeCell ref="B2:M2"/>
    <mergeCell ref="L5:M5"/>
    <mergeCell ref="A8:M8"/>
    <mergeCell ref="F11:I11"/>
    <mergeCell ref="C9:C1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Мартынюк</cp:lastModifiedBy>
  <cp:lastPrinted>2019-12-20T13:11:50Z</cp:lastPrinted>
  <dcterms:created xsi:type="dcterms:W3CDTF">2014-10-21T12:29:03Z</dcterms:created>
  <dcterms:modified xsi:type="dcterms:W3CDTF">2020-01-09T08:25:32Z</dcterms:modified>
  <cp:category/>
  <cp:version/>
  <cp:contentType/>
  <cp:contentStatus/>
</cp:coreProperties>
</file>