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2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  <sheet name="нац политика" sheetId="5" r:id="rId5"/>
  </sheets>
  <definedNames>
    <definedName name="_xlnm.Print_Area" localSheetId="4">'нац политика'!$A$1:$L$45</definedName>
    <definedName name="_xlnm.Print_Area" localSheetId="1">'под. культура'!$A$2:$M$747</definedName>
  </definedNames>
  <calcPr fullCalcOnLoad="1"/>
</workbook>
</file>

<file path=xl/sharedStrings.xml><?xml version="1.0" encoding="utf-8"?>
<sst xmlns="http://schemas.openxmlformats.org/spreadsheetml/2006/main" count="618" uniqueCount="398">
  <si>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</si>
  <si>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</si>
  <si>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</si>
  <si>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</si>
  <si>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</si>
  <si>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</si>
  <si>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</si>
  <si>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</si>
  <si>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</si>
  <si>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</si>
  <si>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</si>
  <si>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</si>
  <si>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</si>
  <si>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</si>
  <si>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</si>
  <si>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</si>
  <si>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</si>
  <si>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</si>
  <si>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</si>
  <si>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</si>
  <si>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</si>
  <si>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</si>
  <si>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</si>
  <si>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</si>
  <si>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</si>
  <si>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</si>
  <si>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</si>
  <si>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</si>
  <si>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</si>
  <si>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</si>
  <si>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</si>
  <si>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</si>
  <si>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</si>
  <si>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</si>
  <si>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</si>
  <si>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</si>
  <si>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</si>
  <si>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</si>
  <si>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</si>
  <si>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</si>
  <si>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</si>
  <si>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</si>
  <si>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</si>
  <si>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</si>
  <si>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</si>
  <si>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</si>
  <si>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</si>
  <si>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</si>
  <si>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</si>
  <si>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</si>
  <si>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</si>
  <si>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</si>
  <si>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</si>
  <si>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</si>
  <si>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</si>
  <si>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</si>
  <si>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</si>
  <si>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</si>
  <si>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</si>
  <si>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</si>
  <si>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</si>
  <si>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</si>
  <si>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</si>
  <si>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</si>
  <si>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</si>
  <si>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</si>
  <si>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</si>
  <si>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</si>
  <si>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</si>
  <si>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</si>
  <si>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</si>
  <si>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</si>
  <si>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</si>
  <si>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</si>
  <si>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</si>
  <si>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</si>
  <si>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</si>
  <si>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</si>
  <si>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</si>
  <si>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</si>
  <si>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</si>
  <si>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</si>
  <si>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</si>
  <si>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</si>
  <si>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</si>
  <si>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</si>
  <si>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</si>
  <si>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</si>
  <si>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</si>
  <si>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</si>
  <si>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</si>
  <si>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</si>
  <si>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</si>
  <si>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</si>
  <si>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</si>
  <si>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</si>
  <si>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</si>
  <si>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</si>
  <si>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</si>
  <si>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</si>
  <si>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</si>
  <si>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</si>
  <si>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</si>
  <si>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</si>
  <si>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</si>
  <si>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</si>
  <si>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</si>
  <si>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</si>
  <si>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</si>
  <si>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</si>
  <si>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</si>
  <si>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</si>
  <si>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</si>
  <si>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</si>
  <si>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</si>
  <si>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</si>
  <si>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</si>
  <si>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</si>
  <si>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</si>
  <si>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</si>
  <si>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</si>
  <si>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</si>
  <si>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</si>
  <si>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</si>
  <si>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</si>
  <si>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</si>
  <si>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</si>
  <si>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</si>
  <si>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</si>
  <si>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</si>
  <si>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</si>
  <si>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</si>
  <si>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</si>
  <si>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</si>
  <si>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</si>
  <si>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</si>
  <si>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</si>
  <si>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</si>
  <si>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</si>
  <si>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</si>
  <si>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</si>
  <si>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</si>
  <si>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</si>
  <si>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</si>
  <si>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</si>
  <si>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</si>
  <si>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</si>
  <si>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</si>
  <si>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</si>
  <si>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</si>
  <si>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</si>
  <si>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</si>
  <si>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</si>
  <si>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</si>
  <si>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</si>
  <si>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</si>
  <si>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</si>
  <si>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</si>
  <si>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</si>
  <si>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</si>
  <si>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>МБУК ОБ</t>
  </si>
  <si>
    <t>МБУК  КЦ Досуг</t>
  </si>
  <si>
    <t xml:space="preserve"> МБУК «Общедоступная библиотека ЗАТО г.Радужный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</si>
  <si>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</si>
  <si>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</si>
  <si>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</si>
  <si>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</si>
  <si>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</si>
  <si>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</si>
  <si>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</si>
  <si>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</si>
  <si>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</si>
  <si>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</si>
  <si>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</si>
  <si>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</si>
  <si>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</si>
  <si>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</si>
  <si>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</si>
  <si>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</si>
  <si>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</si>
  <si>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</si>
  <si>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</si>
  <si>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</si>
  <si>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</si>
  <si>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</si>
  <si>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</si>
  <si>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</si>
  <si>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</si>
  <si>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</si>
  <si>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</si>
  <si>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</si>
  <si>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</si>
  <si>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</si>
  <si>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</si>
  <si>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</si>
  <si>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</si>
  <si>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</si>
  <si>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</si>
  <si>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</si>
  <si>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</si>
  <si>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</si>
  <si>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</si>
  <si>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</si>
  <si>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</si>
  <si>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</si>
  <si>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</si>
  <si>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</si>
  <si>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</si>
  <si>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</si>
  <si>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</si>
  <si>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</si>
  <si>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</si>
  <si>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Ремонт в учреждение МБУК "ЦДМ" ( в киноаппаратной и туалетов)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</si>
  <si>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</si>
  <si>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</si>
  <si>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</si>
  <si>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</si>
  <si>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</si>
  <si>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</si>
  <si>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</si>
  <si>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</si>
  <si>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</si>
  <si>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</si>
  <si>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</si>
  <si>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</si>
  <si>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</si>
  <si>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</si>
  <si>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Выпонение мунципалных заданиий на 1 квартал 2018 года и 1 квартал 2019 года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</si>
  <si>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</si>
  <si>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</si>
  <si>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</si>
  <si>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</si>
  <si>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</si>
  <si>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</si>
  <si>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</si>
  <si>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</si>
  <si>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</si>
  <si>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</si>
  <si>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</si>
  <si>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</si>
  <si>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</si>
  <si>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Перечень мероприятий муниципальной подпрограммы «Развитие физической культуры и спорта в ЗАТО г.Радужный»</t>
  </si>
  <si>
    <t>2.28.</t>
  </si>
  <si>
    <t>2.30.</t>
  </si>
  <si>
    <t>МБУК "ЦДМ"</t>
  </si>
  <si>
    <t>Разработка проектно документации на ремонт фасада МБУК "Досуг"</t>
  </si>
  <si>
    <t>Ремонт помищение "Зеро" (замена пластиковых стеновых панелей на путях эвакуации на негорючие материалы)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</si>
  <si>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</si>
  <si>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</si>
  <si>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</si>
  <si>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</si>
  <si>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 xml:space="preserve">Усторойство навеса в аппараной, замена дверных блоков  и текущий ремонт коридора в клубе  "Зеро", </t>
  </si>
  <si>
    <t>Изготовление скульптурного бюста, посвященного Косьминову И.С.</t>
  </si>
  <si>
    <t>МБУК "Досуг"</t>
  </si>
  <si>
    <t>Приобритение основных средств (стелажей) в МБУК "Библиотеки"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</si>
  <si>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</si>
  <si>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</si>
  <si>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</si>
  <si>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</si>
  <si>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</si>
  <si>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</si>
  <si>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</si>
  <si>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</si>
  <si>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</si>
  <si>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</si>
  <si>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</si>
  <si>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</si>
  <si>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</si>
  <si>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Модернезация аттракционнов (замена запчасте и установка забора) МБУК "ПКиО"</t>
  </si>
  <si>
    <t>Оснащение зданий по требованиям пожарной безопастности в бюджетных учрежениях</t>
  </si>
  <si>
    <t>Приобритение основных средств (приобретение звуковой и видео аппаратуры.)</t>
  </si>
  <si>
    <t>Приобретение материальных запасов( резиновый уплотнители) для теплообменников в здании МБУК "МСДЦ"</t>
  </si>
  <si>
    <t xml:space="preserve"> Выполнение муниципального задания в МБУДО ДШИ</t>
  </si>
  <si>
    <t>Выполнение муниципального задания в МБОУДОД ДЮСШ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</si>
  <si>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</si>
  <si>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</si>
  <si>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</si>
  <si>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</si>
  <si>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</si>
  <si>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</si>
  <si>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</si>
  <si>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>Эксплатация светодиодного экрана  у здания МБУК "МСДЦ"</t>
  </si>
  <si>
    <t>Приобритение основных средств (светодиодные прожекторы) для МБУК "ПКиО".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</si>
  <si>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</si>
  <si>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Приобритениие металлические  средства разделения потока зрителей в здании МБОУ ДО "ДЮСШ"</t>
  </si>
  <si>
    <t>Дополнительные работы по мини-футбольному полю( установка бортовойго каменя)в учреждении МБОУ ДО "ДЮСШ"</t>
  </si>
  <si>
    <t>Приобритение основных средств (светодиодные светильникии и кондиционер).в учреждении МБУК "Библиотека"</t>
  </si>
  <si>
    <t>Установка кондиционеров в киноаппаратной и зрительном зале в МБУК "ЦДМ"</t>
  </si>
  <si>
    <t>2017-2022годы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</si>
  <si>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</si>
  <si>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</si>
  <si>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</si>
  <si>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</si>
  <si>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</si>
  <si>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</si>
  <si>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</si>
  <si>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</si>
  <si>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</si>
  <si>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</si>
  <si>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</si>
  <si>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 xml:space="preserve">Приложение </t>
  </si>
  <si>
    <t xml:space="preserve">Приложение  </t>
  </si>
  <si>
    <t>«Культура ЗАТО г.Радужный Владимирской области»</t>
  </si>
  <si>
    <t xml:space="preserve"> к муниципальной подпрограмме 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</si>
  <si>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</si>
  <si>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</si>
  <si>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</si>
  <si>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</si>
  <si>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</si>
  <si>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</si>
  <si>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</si>
  <si>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На текущий ремонт парапета( ограждения) на крыще МБУК Досуг</t>
  </si>
  <si>
    <t>Текущий ремонт откосов и стен в помещение клуба "Зеро"</t>
  </si>
  <si>
    <t>Текущий ремонт помещений в здание МБУДО ДШИ</t>
  </si>
  <si>
    <t>2.44.</t>
  </si>
  <si>
    <t>2.45.</t>
  </si>
  <si>
    <t>2.46.</t>
  </si>
  <si>
    <t>Межбюджетные трансферты на создание виртуальных концертных залов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</si>
  <si>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</si>
  <si>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</si>
  <si>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</si>
  <si>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</si>
  <si>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</si>
  <si>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</si>
  <si>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</si>
  <si>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</si>
  <si>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</si>
  <si>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</si>
  <si>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</si>
  <si>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МБУК КЦ "Досуг"</t>
  </si>
  <si>
    <t>Текуший ремонты в учреждении МБУК КЦ "Досуг" ( ремонт потолка в артистической, методическом кабинете, хоровом; ремонт осветительной сети сцены)</t>
  </si>
  <si>
    <t xml:space="preserve">Противопожарная пропитка деревянных конструкций сцены 70 м2 в учреждении МБУК "ЦДМ" </t>
  </si>
  <si>
    <t>2.51.</t>
  </si>
  <si>
    <t>2.52.</t>
  </si>
  <si>
    <t>2.53.</t>
  </si>
  <si>
    <t>2.54.</t>
  </si>
  <si>
    <t xml:space="preserve">Уборка снега механизированным способом в Парке, экспертная проверка сметной документации, приобритение биотуалетов </t>
  </si>
  <si>
    <t>2.55.</t>
  </si>
  <si>
    <t>2.56.</t>
  </si>
  <si>
    <t>2.57.</t>
  </si>
  <si>
    <t>МБОУДО "ДЮСШ"</t>
  </si>
  <si>
    <t>2.58.</t>
  </si>
  <si>
    <t>Текушии ремонты в учреждение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</si>
  <si>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1.16.</t>
  </si>
  <si>
    <t>Проведение праздничных мероприятий, посвященных 75-летию Победы</t>
  </si>
  <si>
    <t>МБУДО "ДШИ"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</si>
  <si>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</si>
  <si>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</si>
  <si>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</si>
  <si>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 xml:space="preserve">Цели: -создание и обеспечение межнационального и межконфессионального согласия на территории ЗАТО г. Радужный Владимирской области, 
-мониторинг ситуации по миграции на территории ЗАТО г. Радужный Владимирской области,
-реализация образовательных мероприятий, направленных на распространение знаний о народах России и СНГ, формирование гражданского патриотизма, укрепление традиционных духовных и нравственных ценностей,
-повышение уровня знаний и компетентности по вопросам государственной межнациональной политики.
</t>
  </si>
  <si>
    <t>Перечень мероприятий муниципальной подпрограммы "Укрепление единства российской нации и этнокультурное развитие народов на территории ЗАТО г. Радужный Владимирской области"</t>
  </si>
  <si>
    <t>собственные доходы</t>
  </si>
  <si>
    <t>из облостного бюджета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</si>
  <si>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</si>
  <si>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</si>
  <si>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</si>
  <si>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</si>
  <si>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</si>
  <si>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ПОДПРОГРАММЕ: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</si>
  <si>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</si>
  <si>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Муниципальная подпрограмма "Укрепление единства российской нации и этнокультурное развитие народов на территории ЗАТО г. Радужный Владимирской области"</t>
  </si>
  <si>
    <t>2.59.</t>
  </si>
  <si>
    <t>На текущий ремонт в задинии учреждениея МБУК "ЦДМ"(перенос место поста охраны)</t>
  </si>
  <si>
    <t>Совершенствование муниципального управления в сфере государственной национальной политики Российской Федерации.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</si>
  <si>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</si>
  <si>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 xml:space="preserve">Задачи: -развитие системы повышения этнокультурной компетентности населения и муниципальных служащих;
-выполнение мероприятий и инициатив, направленных на этнокультурное развитие народов;
-недопущение фактов незаконной миграции, обеспеченность рынка труда рабочей силой;
-проведение воспитательной, пропагандистской работы с населением ЗАТО г. Радужный; 
-недопущения межнациональных и межконфессиональных конфликтов. </t>
  </si>
  <si>
    <t>2.60.</t>
  </si>
  <si>
    <t>Приобритение основных средств для учреждения МБУК "МСДЦ" (рециркуляторы воздуха с УФ-лампой, средство индивидуальной зашиты)</t>
  </si>
  <si>
    <t>2.61.</t>
  </si>
  <si>
    <t>Приобритение основных средств для учреждения МБОУДО "ДЮСШ" (насос для бассейна. станции дозирования, 2 теплообменика для бассейна, робота полесоса для бассейна, бактерицидный облучатель, рециркуляторы.)</t>
  </si>
  <si>
    <t>Приобритение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</si>
  <si>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Приобритение основных средств для учреждения МБУК "Библиотеки" (жалюзи, кулер, стулья-20шт,противопожарное полотно )</t>
  </si>
  <si>
    <t>2020-2023</t>
  </si>
  <si>
    <t>2017-2023</t>
  </si>
  <si>
    <t>2017-2023г.г.</t>
  </si>
  <si>
    <t>2017-2023 годы</t>
  </si>
  <si>
    <t>2017-2023годы</t>
  </si>
  <si>
    <t>2020-2023 годы</t>
  </si>
  <si>
    <t>Муниципальная Программа «Культура, спорт  и национальная политика ЗАТО г.Радужный Владимирской области»</t>
  </si>
  <si>
    <t>Итого по меропрриятию №1</t>
  </si>
  <si>
    <t>Текушии ремонты в учреждение МБОУДО "ДЮСШ" (ПИР на проведения ремонта фасада с/к кристала,замена пожарных шкафов на противопожарные в зале ФОК, ремонт отопление в игровом зале ФОК и т.д )</t>
  </si>
  <si>
    <t>Уборка сухостоя и упавших деревьев площадью 1га. В МБУК "ПКиО"</t>
  </si>
  <si>
    <t>Приобритение основных средств для учреждения МБУК "ЦДМ"(рециркуляторы и бесконтактные термометры)</t>
  </si>
  <si>
    <t>2.62.</t>
  </si>
  <si>
    <t>Текуший ремонтор здания МБУК "ЦДМ" (покраска фасада здания)</t>
  </si>
  <si>
    <t>Внедрение информационных технологий в процесс библиотечного обслуживания, приобритение запчастей для оргтехники</t>
  </si>
  <si>
    <t>2.63.</t>
  </si>
  <si>
    <t>Субсидия на государственную поддержку отрасли культуры на приобритение музыкальных интрументов, оборудования и материалов для детских школ искуств.</t>
  </si>
  <si>
    <t>6.</t>
  </si>
  <si>
    <t>Приобритение спортивного инвентаря для сборных команд ЗАТО г.Радужный</t>
  </si>
  <si>
    <t>Координация деятельности учреждений спорта.  Предоставление дополнительного образования в сфере культуры и спорта.</t>
  </si>
  <si>
    <t xml:space="preserve"> МБОУДОД ДЮСШ</t>
  </si>
  <si>
    <t>На содержание обьектов спортивной инфраструктуры муниципальной собственности длоя занятий физической культуры и спорта</t>
  </si>
  <si>
    <t>итого по мероприятию №3</t>
  </si>
  <si>
    <t>3. Выполнение муниципальных заданий:</t>
  </si>
  <si>
    <t>Приобритение основных средств для учреждения (для противожарная обработка сценического занавеса в зрительном и приобритение светового оборудование)</t>
  </si>
  <si>
    <t>2.64.</t>
  </si>
  <si>
    <t>На прибритение основных средств и материальных запасов для учреждения МБУК ПКиО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</si>
</sst>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30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sz val="10"/>
      <color rgb="FF0070C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>
        <color indexed="8"/>
      </right>
      <top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7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177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2" fontId="6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58" fillId="0" borderId="11" xfId="0" applyFont="1" applyBorder="1" applyAlignment="1">
      <alignment vertical="top" wrapText="1"/>
    </xf>
    <xf numFmtId="0" fontId="60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1" fillId="0" borderId="0" xfId="0" applyFont="1" applyAlignment="1">
      <alignment/>
    </xf>
    <xf numFmtId="0" fontId="58" fillId="0" borderId="13" xfId="0" applyFont="1" applyBorder="1" applyAlignment="1">
      <alignment horizontal="center" vertical="top" wrapText="1"/>
    </xf>
    <xf numFmtId="0" fontId="62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48" fillId="0" borderId="12" xfId="0" applyFont="1" applyFill="1" applyBorder="1" applyAlignment="1">
      <alignment horizontal="center" vertical="center"/>
    </xf>
    <xf numFmtId="178" fontId="65" fillId="0" borderId="12" xfId="0" applyNumberFormat="1" applyFont="1" applyFill="1" applyBorder="1" applyAlignment="1">
      <alignment horizontal="center" vertical="top" wrapText="1"/>
    </xf>
    <xf numFmtId="178" fontId="65" fillId="0" borderId="12" xfId="0" applyNumberFormat="1" applyFont="1" applyFill="1" applyBorder="1" applyAlignment="1">
      <alignment horizontal="center" vertical="center" wrapText="1"/>
    </xf>
    <xf numFmtId="178" fontId="61" fillId="0" borderId="12" xfId="0" applyNumberFormat="1" applyFont="1" applyFill="1" applyBorder="1" applyAlignment="1">
      <alignment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65" fillId="0" borderId="14" xfId="0" applyNumberFormat="1" applyFont="1" applyFill="1" applyBorder="1" applyAlignment="1">
      <alignment horizontal="center" vertical="top" wrapText="1"/>
    </xf>
    <xf numFmtId="178" fontId="66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 wrapText="1"/>
    </xf>
    <xf numFmtId="184" fontId="67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/>
    </xf>
    <xf numFmtId="184" fontId="68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left" vertical="top" wrapText="1" indent="1"/>
    </xf>
    <xf numFmtId="184" fontId="67" fillId="0" borderId="12" xfId="0" applyNumberFormat="1" applyFont="1" applyFill="1" applyBorder="1" applyAlignment="1">
      <alignment horizontal="center" wrapText="1"/>
    </xf>
    <xf numFmtId="184" fontId="67" fillId="0" borderId="12" xfId="0" applyNumberFormat="1" applyFont="1" applyFill="1" applyBorder="1" applyAlignment="1">
      <alignment horizontal="center" vertical="center" wrapText="1"/>
    </xf>
    <xf numFmtId="184" fontId="69" fillId="0" borderId="12" xfId="0" applyNumberFormat="1" applyFont="1" applyFill="1" applyBorder="1" applyAlignment="1">
      <alignment vertical="top" wrapText="1"/>
    </xf>
    <xf numFmtId="184" fontId="62" fillId="0" borderId="12" xfId="0" applyNumberFormat="1" applyFont="1" applyFill="1" applyBorder="1" applyAlignment="1">
      <alignment horizontal="left" vertical="top" wrapText="1"/>
    </xf>
    <xf numFmtId="184" fontId="62" fillId="0" borderId="12" xfId="0" applyNumberFormat="1" applyFont="1" applyFill="1" applyBorder="1" applyAlignment="1">
      <alignment horizontal="left" vertical="top" wrapText="1" indent="1"/>
    </xf>
    <xf numFmtId="184" fontId="62" fillId="0" borderId="12" xfId="0" applyNumberFormat="1" applyFont="1" applyFill="1" applyBorder="1" applyAlignment="1">
      <alignment horizontal="center" vertical="center" wrapText="1"/>
    </xf>
    <xf numFmtId="184" fontId="62" fillId="0" borderId="12" xfId="0" applyNumberFormat="1" applyFont="1" applyFill="1" applyBorder="1" applyAlignment="1">
      <alignment vertical="top" wrapText="1"/>
    </xf>
    <xf numFmtId="184" fontId="69" fillId="0" borderId="12" xfId="0" applyNumberFormat="1" applyFont="1" applyFill="1" applyBorder="1" applyAlignment="1">
      <alignment wrapText="1"/>
    </xf>
    <xf numFmtId="184" fontId="69" fillId="0" borderId="12" xfId="0" applyNumberFormat="1" applyFont="1" applyFill="1" applyBorder="1" applyAlignment="1">
      <alignment vertical="center"/>
    </xf>
    <xf numFmtId="184" fontId="69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69" fillId="0" borderId="12" xfId="0" applyNumberFormat="1" applyFont="1" applyFill="1" applyBorder="1" applyAlignment="1">
      <alignment horizontal="center" vertical="center"/>
    </xf>
    <xf numFmtId="184" fontId="70" fillId="0" borderId="12" xfId="0" applyNumberFormat="1" applyFont="1" applyFill="1" applyBorder="1" applyAlignment="1">
      <alignment vertical="top" wrapText="1"/>
    </xf>
    <xf numFmtId="184" fontId="7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69" fillId="0" borderId="12" xfId="0" applyNumberFormat="1" applyFont="1" applyFill="1" applyBorder="1" applyAlignment="1">
      <alignment/>
    </xf>
    <xf numFmtId="184" fontId="69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/>
    </xf>
    <xf numFmtId="1" fontId="58" fillId="0" borderId="12" xfId="0" applyNumberFormat="1" applyFont="1" applyFill="1" applyBorder="1" applyAlignment="1">
      <alignment horizontal="center" wrapText="1"/>
    </xf>
    <xf numFmtId="1" fontId="71" fillId="0" borderId="12" xfId="0" applyNumberFormat="1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 vertical="center" wrapText="1"/>
    </xf>
    <xf numFmtId="1" fontId="62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0" fillId="0" borderId="12" xfId="0" applyNumberFormat="1" applyFill="1" applyBorder="1" applyAlignment="1">
      <alignment horizontal="center" wrapText="1"/>
    </xf>
    <xf numFmtId="184" fontId="61" fillId="0" borderId="12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 wrapText="1"/>
    </xf>
    <xf numFmtId="184" fontId="61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177" fontId="60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2" fontId="62" fillId="0" borderId="12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top" wrapText="1"/>
    </xf>
    <xf numFmtId="184" fontId="33" fillId="0" borderId="12" xfId="0" applyNumberFormat="1" applyFont="1" applyFill="1" applyBorder="1" applyAlignment="1">
      <alignment vertical="top" wrapText="1"/>
    </xf>
    <xf numFmtId="184" fontId="67" fillId="0" borderId="12" xfId="0" applyNumberFormat="1" applyFont="1" applyFill="1" applyBorder="1" applyAlignment="1">
      <alignment vertical="center" wrapText="1"/>
    </xf>
    <xf numFmtId="184" fontId="73" fillId="0" borderId="12" xfId="0" applyNumberFormat="1" applyFont="1" applyFill="1" applyBorder="1" applyAlignment="1">
      <alignment vertical="top" wrapText="1"/>
    </xf>
    <xf numFmtId="184" fontId="62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63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horizontal="center" wrapText="1"/>
    </xf>
    <xf numFmtId="0" fontId="61" fillId="0" borderId="12" xfId="0" applyFont="1" applyFill="1" applyBorder="1" applyAlignment="1">
      <alignment vertical="top" wrapText="1"/>
    </xf>
    <xf numFmtId="0" fontId="60" fillId="0" borderId="0" xfId="0" applyFont="1" applyAlignment="1">
      <alignment horizontal="right"/>
    </xf>
    <xf numFmtId="0" fontId="62" fillId="0" borderId="12" xfId="0" applyFont="1" applyFill="1" applyBorder="1" applyAlignment="1">
      <alignment vertical="center" wrapText="1"/>
    </xf>
    <xf numFmtId="0" fontId="60" fillId="0" borderId="0" xfId="0" applyFont="1" applyAlignment="1">
      <alignment wrapText="1"/>
    </xf>
    <xf numFmtId="180" fontId="58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74" fillId="0" borderId="12" xfId="0" applyNumberFormat="1" applyFont="1" applyFill="1" applyBorder="1" applyAlignment="1">
      <alignment vertical="top" wrapText="1"/>
    </xf>
    <xf numFmtId="0" fontId="75" fillId="0" borderId="0" xfId="0" applyFont="1" applyFill="1" applyAlignment="1">
      <alignment horizontal="center"/>
    </xf>
    <xf numFmtId="0" fontId="62" fillId="0" borderId="15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184" fontId="58" fillId="0" borderId="12" xfId="0" applyNumberFormat="1" applyFont="1" applyFill="1" applyBorder="1" applyAlignment="1">
      <alignment horizontal="center" vertical="top" wrapText="1"/>
    </xf>
    <xf numFmtId="184" fontId="76" fillId="0" borderId="12" xfId="0" applyNumberFormat="1" applyFont="1" applyFill="1" applyBorder="1" applyAlignment="1">
      <alignment horizontal="left" vertical="center" wrapText="1"/>
    </xf>
    <xf numFmtId="184" fontId="72" fillId="33" borderId="10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184" fontId="72" fillId="0" borderId="20" xfId="0" applyNumberFormat="1" applyFont="1" applyFill="1" applyBorder="1" applyAlignment="1">
      <alignment horizontal="center" vertical="top" wrapText="1"/>
    </xf>
    <xf numFmtId="184" fontId="61" fillId="0" borderId="12" xfId="0" applyNumberFormat="1" applyFont="1" applyBorder="1" applyAlignment="1">
      <alignment/>
    </xf>
    <xf numFmtId="184" fontId="6" fillId="0" borderId="12" xfId="0" applyNumberFormat="1" applyFont="1" applyFill="1" applyBorder="1" applyAlignment="1">
      <alignment horizontal="center" vertical="center" wrapText="1"/>
    </xf>
    <xf numFmtId="184" fontId="61" fillId="0" borderId="12" xfId="0" applyNumberFormat="1" applyFont="1" applyBorder="1" applyAlignment="1">
      <alignment horizontal="center" vertical="center"/>
    </xf>
    <xf numFmtId="0" fontId="62" fillId="0" borderId="2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61" fillId="0" borderId="12" xfId="0" applyNumberFormat="1" applyFont="1" applyBorder="1" applyAlignment="1">
      <alignment horizontal="center"/>
    </xf>
    <xf numFmtId="0" fontId="61" fillId="0" borderId="21" xfId="0" applyFont="1" applyFill="1" applyBorder="1" applyAlignment="1">
      <alignment vertical="top" wrapText="1"/>
    </xf>
    <xf numFmtId="184" fontId="60" fillId="0" borderId="0" xfId="0" applyNumberFormat="1" applyFont="1" applyAlignment="1">
      <alignment horizontal="right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84" fontId="67" fillId="0" borderId="16" xfId="0" applyNumberFormat="1" applyFont="1" applyFill="1" applyBorder="1" applyAlignment="1">
      <alignment vertical="top" wrapText="1"/>
    </xf>
    <xf numFmtId="184" fontId="58" fillId="0" borderId="16" xfId="0" applyNumberFormat="1" applyFont="1" applyFill="1" applyBorder="1" applyAlignment="1">
      <alignment horizontal="left" vertical="top" wrapText="1"/>
    </xf>
    <xf numFmtId="184" fontId="58" fillId="0" borderId="17" xfId="0" applyNumberFormat="1" applyFont="1" applyFill="1" applyBorder="1" applyAlignment="1">
      <alignment horizontal="left" vertical="top" wrapText="1" indent="1"/>
    </xf>
    <xf numFmtId="184" fontId="67" fillId="0" borderId="17" xfId="0" applyNumberFormat="1" applyFont="1" applyFill="1" applyBorder="1" applyAlignment="1">
      <alignment vertical="top" wrapText="1"/>
    </xf>
    <xf numFmtId="184" fontId="69" fillId="0" borderId="16" xfId="0" applyNumberFormat="1" applyFont="1" applyFill="1" applyBorder="1" applyAlignment="1">
      <alignment vertical="top" wrapText="1"/>
    </xf>
    <xf numFmtId="184" fontId="62" fillId="0" borderId="16" xfId="0" applyNumberFormat="1" applyFont="1" applyFill="1" applyBorder="1" applyAlignment="1">
      <alignment horizontal="left" vertical="top" wrapText="1"/>
    </xf>
    <xf numFmtId="184" fontId="62" fillId="0" borderId="17" xfId="0" applyNumberFormat="1" applyFont="1" applyFill="1" applyBorder="1" applyAlignment="1">
      <alignment horizontal="left" vertical="top" wrapText="1" indent="1"/>
    </xf>
    <xf numFmtId="184" fontId="69" fillId="0" borderId="17" xfId="0" applyNumberFormat="1" applyFont="1" applyFill="1" applyBorder="1" applyAlignment="1">
      <alignment vertical="top" wrapText="1"/>
    </xf>
    <xf numFmtId="184" fontId="61" fillId="0" borderId="12" xfId="0" applyNumberFormat="1" applyFont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top" wrapText="1"/>
    </xf>
    <xf numFmtId="0" fontId="61" fillId="0" borderId="12" xfId="0" applyNumberFormat="1" applyFont="1" applyBorder="1" applyAlignment="1">
      <alignment horizontal="center" vertical="center"/>
    </xf>
    <xf numFmtId="0" fontId="61" fillId="0" borderId="20" xfId="0" applyNumberFormat="1" applyFont="1" applyFill="1" applyBorder="1" applyAlignment="1">
      <alignment horizontal="center" vertical="top" wrapText="1"/>
    </xf>
    <xf numFmtId="184" fontId="61" fillId="0" borderId="20" xfId="0" applyNumberFormat="1" applyFont="1" applyFill="1" applyBorder="1" applyAlignment="1">
      <alignment horizontal="center" vertical="top" wrapText="1"/>
    </xf>
    <xf numFmtId="0" fontId="61" fillId="0" borderId="12" xfId="0" applyNumberFormat="1" applyFont="1" applyFill="1" applyBorder="1" applyAlignment="1">
      <alignment horizontal="center" vertical="top" wrapText="1"/>
    </xf>
    <xf numFmtId="184" fontId="61" fillId="0" borderId="12" xfId="0" applyNumberFormat="1" applyFont="1" applyFill="1" applyBorder="1" applyAlignment="1">
      <alignment horizontal="center" vertical="top" wrapText="1"/>
    </xf>
    <xf numFmtId="184" fontId="72" fillId="0" borderId="12" xfId="0" applyNumberFormat="1" applyFont="1" applyFill="1" applyBorder="1" applyAlignment="1">
      <alignment horizontal="center" vertical="top" wrapText="1"/>
    </xf>
    <xf numFmtId="184" fontId="72" fillId="33" borderId="12" xfId="0" applyNumberFormat="1" applyFont="1" applyFill="1" applyBorder="1" applyAlignment="1">
      <alignment horizontal="center" vertical="top" wrapText="1"/>
    </xf>
    <xf numFmtId="184" fontId="72" fillId="34" borderId="0" xfId="0" applyNumberFormat="1" applyFont="1" applyFill="1" applyBorder="1" applyAlignment="1">
      <alignment vertical="top" wrapText="1"/>
    </xf>
    <xf numFmtId="184" fontId="72" fillId="34" borderId="12" xfId="0" applyNumberFormat="1" applyFont="1" applyFill="1" applyBorder="1" applyAlignment="1">
      <alignment horizontal="center" vertical="top" wrapText="1"/>
    </xf>
    <xf numFmtId="184" fontId="72" fillId="34" borderId="15" xfId="0" applyNumberFormat="1" applyFont="1" applyFill="1" applyBorder="1" applyAlignment="1">
      <alignment vertical="center" wrapText="1"/>
    </xf>
    <xf numFmtId="184" fontId="72" fillId="34" borderId="12" xfId="0" applyNumberFormat="1" applyFont="1" applyFill="1" applyBorder="1" applyAlignment="1">
      <alignment horizontal="center" vertical="center"/>
    </xf>
    <xf numFmtId="184" fontId="61" fillId="34" borderId="12" xfId="0" applyNumberFormat="1" applyFont="1" applyFill="1" applyBorder="1" applyAlignment="1">
      <alignment/>
    </xf>
    <xf numFmtId="0" fontId="72" fillId="34" borderId="10" xfId="0" applyFont="1" applyFill="1" applyBorder="1" applyAlignment="1">
      <alignment vertical="top" wrapText="1"/>
    </xf>
    <xf numFmtId="0" fontId="72" fillId="34" borderId="10" xfId="0" applyFont="1" applyFill="1" applyBorder="1" applyAlignment="1">
      <alignment horizontal="center" vertical="top" wrapText="1"/>
    </xf>
    <xf numFmtId="184" fontId="72" fillId="34" borderId="10" xfId="0" applyNumberFormat="1" applyFont="1" applyFill="1" applyBorder="1" applyAlignment="1">
      <alignment horizontal="center" vertical="top" wrapText="1"/>
    </xf>
    <xf numFmtId="184" fontId="60" fillId="0" borderId="0" xfId="0" applyNumberFormat="1" applyFont="1" applyAlignment="1">
      <alignment/>
    </xf>
    <xf numFmtId="0" fontId="72" fillId="33" borderId="10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horizontal="center" vertical="top" wrapText="1"/>
    </xf>
    <xf numFmtId="1" fontId="63" fillId="0" borderId="12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vertical="top" wrapText="1"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61" fillId="0" borderId="0" xfId="0" applyNumberFormat="1" applyFont="1" applyFill="1" applyAlignment="1">
      <alignment/>
    </xf>
    <xf numFmtId="2" fontId="61" fillId="0" borderId="0" xfId="0" applyNumberFormat="1" applyFont="1" applyFill="1" applyAlignment="1">
      <alignment/>
    </xf>
    <xf numFmtId="0" fontId="61" fillId="0" borderId="0" xfId="0" applyFont="1" applyFill="1" applyAlignment="1">
      <alignment vertical="top"/>
    </xf>
    <xf numFmtId="0" fontId="65" fillId="0" borderId="12" xfId="0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84" fontId="71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left" vertical="center" wrapText="1"/>
    </xf>
    <xf numFmtId="184" fontId="58" fillId="0" borderId="24" xfId="0" applyNumberFormat="1" applyFont="1" applyFill="1" applyBorder="1" applyAlignment="1">
      <alignment horizontal="left" vertical="center" wrapText="1"/>
    </xf>
    <xf numFmtId="184" fontId="58" fillId="0" borderId="14" xfId="0" applyNumberFormat="1" applyFont="1" applyFill="1" applyBorder="1" applyAlignment="1">
      <alignment horizontal="left" vertical="center" wrapText="1"/>
    </xf>
    <xf numFmtId="184" fontId="58" fillId="0" borderId="21" xfId="0" applyNumberFormat="1" applyFont="1" applyFill="1" applyBorder="1" applyAlignment="1">
      <alignment horizontal="left" vertical="center" wrapText="1"/>
    </xf>
    <xf numFmtId="184" fontId="58" fillId="0" borderId="12" xfId="0" applyNumberFormat="1" applyFont="1" applyFill="1" applyBorder="1" applyAlignment="1">
      <alignment horizontal="center" vertical="center" wrapText="1"/>
    </xf>
    <xf numFmtId="184" fontId="76" fillId="0" borderId="14" xfId="0" applyNumberFormat="1" applyFont="1" applyFill="1" applyBorder="1" applyAlignment="1">
      <alignment horizontal="left" vertical="center" wrapText="1"/>
    </xf>
    <xf numFmtId="184" fontId="76" fillId="0" borderId="21" xfId="0" applyNumberFormat="1" applyFont="1" applyFill="1" applyBorder="1" applyAlignment="1">
      <alignment horizontal="left" vertical="center" wrapText="1"/>
    </xf>
    <xf numFmtId="184" fontId="58" fillId="0" borderId="24" xfId="0" applyNumberFormat="1" applyFont="1" applyFill="1" applyBorder="1" applyAlignment="1">
      <alignment horizontal="center" vertical="top" wrapText="1"/>
    </xf>
    <xf numFmtId="184" fontId="58" fillId="0" borderId="14" xfId="0" applyNumberFormat="1" applyFont="1" applyFill="1" applyBorder="1" applyAlignment="1">
      <alignment horizontal="center" vertical="top" wrapText="1"/>
    </xf>
    <xf numFmtId="184" fontId="58" fillId="0" borderId="21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left" vertical="top" wrapText="1"/>
    </xf>
    <xf numFmtId="184" fontId="62" fillId="0" borderId="21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63" fillId="0" borderId="17" xfId="0" applyNumberFormat="1" applyFont="1" applyFill="1" applyBorder="1" applyAlignment="1">
      <alignment horizontal="center" wrapText="1"/>
    </xf>
    <xf numFmtId="184" fontId="0" fillId="0" borderId="21" xfId="0" applyNumberFormat="1" applyFill="1" applyBorder="1" applyAlignment="1">
      <alignment horizontal="center" wrapText="1"/>
    </xf>
    <xf numFmtId="0" fontId="0" fillId="0" borderId="12" xfId="0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left" vertical="top" wrapText="1"/>
    </xf>
    <xf numFmtId="1" fontId="58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" fontId="58" fillId="0" borderId="12" xfId="0" applyNumberFormat="1" applyFont="1" applyFill="1" applyBorder="1" applyAlignment="1">
      <alignment horizontal="center" vertical="center" wrapText="1"/>
    </xf>
    <xf numFmtId="184" fontId="58" fillId="0" borderId="12" xfId="0" applyNumberFormat="1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wrapText="1"/>
    </xf>
    <xf numFmtId="184" fontId="58" fillId="0" borderId="12" xfId="0" applyNumberFormat="1" applyFont="1" applyFill="1" applyBorder="1" applyAlignment="1">
      <alignment horizontal="left" vertical="top" wrapText="1"/>
    </xf>
    <xf numFmtId="184" fontId="76" fillId="0" borderId="12" xfId="0" applyNumberFormat="1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right"/>
    </xf>
    <xf numFmtId="0" fontId="62" fillId="0" borderId="24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0" fontId="61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65" fillId="0" borderId="2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77" fillId="0" borderId="12" xfId="0" applyFont="1" applyFill="1" applyBorder="1" applyAlignment="1">
      <alignment vertical="top" wrapText="1"/>
    </xf>
    <xf numFmtId="0" fontId="61" fillId="0" borderId="12" xfId="0" applyNumberFormat="1" applyFont="1" applyFill="1" applyBorder="1" applyAlignment="1">
      <alignment horizontal="center" vertical="center"/>
    </xf>
    <xf numFmtId="184" fontId="61" fillId="0" borderId="12" xfId="0" applyNumberFormat="1" applyFont="1" applyFill="1" applyBorder="1" applyAlignment="1">
      <alignment horizontal="center" vertical="center"/>
    </xf>
    <xf numFmtId="1" fontId="58" fillId="0" borderId="21" xfId="0" applyNumberFormat="1" applyFont="1" applyFill="1" applyBorder="1" applyAlignment="1">
      <alignment horizontal="center" vertical="top" wrapText="1"/>
    </xf>
    <xf numFmtId="1" fontId="70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center"/>
    </xf>
    <xf numFmtId="184" fontId="6" fillId="0" borderId="12" xfId="0" applyNumberFormat="1" applyFont="1" applyFill="1" applyBorder="1" applyAlignment="1">
      <alignment horizontal="left" vertical="center" wrapText="1"/>
    </xf>
    <xf numFmtId="184" fontId="65" fillId="0" borderId="12" xfId="0" applyNumberFormat="1" applyFont="1" applyFill="1" applyBorder="1" applyAlignment="1">
      <alignment horizontal="center" vertical="top" wrapText="1"/>
    </xf>
    <xf numFmtId="176" fontId="65" fillId="0" borderId="12" xfId="0" applyNumberFormat="1" applyFont="1" applyFill="1" applyBorder="1" applyAlignment="1">
      <alignment horizontal="center" vertical="top" wrapText="1"/>
    </xf>
    <xf numFmtId="176" fontId="62" fillId="0" borderId="12" xfId="0" applyNumberFormat="1" applyFont="1" applyFill="1" applyBorder="1" applyAlignment="1">
      <alignment horizontal="center" vertical="top" wrapText="1"/>
    </xf>
    <xf numFmtId="176" fontId="62" fillId="0" borderId="12" xfId="0" applyNumberFormat="1" applyFont="1" applyFill="1" applyBorder="1" applyAlignment="1">
      <alignment vertical="top" wrapText="1"/>
    </xf>
    <xf numFmtId="176" fontId="67" fillId="0" borderId="12" xfId="0" applyNumberFormat="1" applyFont="1" applyFill="1" applyBorder="1" applyAlignment="1">
      <alignment horizontal="center" vertical="top" wrapText="1"/>
    </xf>
    <xf numFmtId="176" fontId="67" fillId="0" borderId="12" xfId="0" applyNumberFormat="1" applyFont="1" applyFill="1" applyBorder="1" applyAlignment="1">
      <alignment vertical="top" wrapText="1"/>
    </xf>
    <xf numFmtId="176" fontId="62" fillId="0" borderId="12" xfId="0" applyNumberFormat="1" applyFont="1" applyFill="1" applyBorder="1" applyAlignment="1">
      <alignment horizontal="center" wrapText="1"/>
    </xf>
    <xf numFmtId="176" fontId="62" fillId="0" borderId="12" xfId="0" applyNumberFormat="1" applyFont="1" applyFill="1" applyBorder="1" applyAlignment="1">
      <alignment wrapText="1"/>
    </xf>
    <xf numFmtId="176" fontId="67" fillId="0" borderId="12" xfId="0" applyNumberFormat="1" applyFont="1" applyFill="1" applyBorder="1" applyAlignment="1">
      <alignment wrapText="1"/>
    </xf>
    <xf numFmtId="176" fontId="63" fillId="0" borderId="12" xfId="0" applyNumberFormat="1" applyFont="1" applyFill="1" applyBorder="1" applyAlignment="1">
      <alignment horizontal="center" vertical="top" wrapText="1"/>
    </xf>
    <xf numFmtId="176" fontId="63" fillId="0" borderId="12" xfId="0" applyNumberFormat="1" applyFont="1" applyFill="1" applyBorder="1" applyAlignment="1">
      <alignment vertical="top" wrapText="1"/>
    </xf>
    <xf numFmtId="176" fontId="64" fillId="0" borderId="12" xfId="0" applyNumberFormat="1" applyFont="1" applyFill="1" applyBorder="1" applyAlignment="1">
      <alignment horizontal="center" vertical="top" wrapText="1"/>
    </xf>
    <xf numFmtId="176" fontId="64" fillId="0" borderId="12" xfId="0" applyNumberFormat="1" applyFont="1" applyFill="1" applyBorder="1" applyAlignment="1">
      <alignment vertical="top" wrapText="1"/>
    </xf>
    <xf numFmtId="176" fontId="62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 horizontal="center" wrapText="1"/>
    </xf>
    <xf numFmtId="176" fontId="63" fillId="0" borderId="12" xfId="0" applyNumberFormat="1" applyFont="1" applyFill="1" applyBorder="1" applyAlignment="1">
      <alignment wrapText="1"/>
    </xf>
    <xf numFmtId="176" fontId="63" fillId="0" borderId="23" xfId="0" applyNumberFormat="1" applyFont="1" applyFill="1" applyBorder="1" applyAlignment="1">
      <alignment wrapText="1"/>
    </xf>
    <xf numFmtId="176" fontId="63" fillId="0" borderId="23" xfId="0" applyNumberFormat="1" applyFont="1" applyFill="1" applyBorder="1" applyAlignment="1">
      <alignment horizontal="center" wrapText="1"/>
    </xf>
    <xf numFmtId="176" fontId="58" fillId="0" borderId="12" xfId="0" applyNumberFormat="1" applyFont="1" applyFill="1" applyBorder="1" applyAlignment="1">
      <alignment horizontal="center" vertical="top" wrapText="1"/>
    </xf>
    <xf numFmtId="176" fontId="69" fillId="0" borderId="12" xfId="0" applyNumberFormat="1" applyFont="1" applyFill="1" applyBorder="1" applyAlignment="1">
      <alignment wrapText="1"/>
    </xf>
    <xf numFmtId="176" fontId="69" fillId="0" borderId="12" xfId="0" applyNumberFormat="1" applyFont="1" applyFill="1" applyBorder="1" applyAlignment="1">
      <alignment vertical="top" wrapText="1"/>
    </xf>
    <xf numFmtId="176" fontId="48" fillId="0" borderId="12" xfId="0" applyNumberFormat="1" applyFont="1" applyFill="1" applyBorder="1" applyAlignment="1">
      <alignment wrapText="1"/>
    </xf>
    <xf numFmtId="176" fontId="48" fillId="0" borderId="12" xfId="0" applyNumberFormat="1" applyFont="1" applyFill="1" applyBorder="1" applyAlignment="1">
      <alignment horizontal="center" vertical="center"/>
    </xf>
    <xf numFmtId="184" fontId="58" fillId="0" borderId="12" xfId="0" applyNumberFormat="1" applyFont="1" applyFill="1" applyBorder="1" applyAlignment="1">
      <alignment horizontal="center" vertical="top" wrapText="1"/>
    </xf>
    <xf numFmtId="1" fontId="71" fillId="35" borderId="12" xfId="0" applyNumberFormat="1" applyFont="1" applyFill="1" applyBorder="1" applyAlignment="1">
      <alignment horizontal="center" vertical="top" wrapText="1"/>
    </xf>
    <xf numFmtId="184" fontId="71" fillId="35" borderId="12" xfId="0" applyNumberFormat="1" applyFont="1" applyFill="1" applyBorder="1" applyAlignment="1">
      <alignment horizontal="center" vertical="top" wrapText="1"/>
    </xf>
    <xf numFmtId="184" fontId="63" fillId="35" borderId="12" xfId="0" applyNumberFormat="1" applyFont="1" applyFill="1" applyBorder="1" applyAlignment="1">
      <alignment horizontal="center" vertical="top" wrapText="1"/>
    </xf>
    <xf numFmtId="184" fontId="70" fillId="35" borderId="12" xfId="0" applyNumberFormat="1" applyFont="1" applyFill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184" fontId="61" fillId="0" borderId="28" xfId="0" applyNumberFormat="1" applyFont="1" applyFill="1" applyBorder="1" applyAlignment="1">
      <alignment horizontal="left" vertical="center" wrapText="1"/>
    </xf>
    <xf numFmtId="184" fontId="61" fillId="0" borderId="29" xfId="0" applyNumberFormat="1" applyFont="1" applyFill="1" applyBorder="1" applyAlignment="1">
      <alignment horizontal="left" vertical="center" wrapText="1"/>
    </xf>
    <xf numFmtId="184" fontId="61" fillId="0" borderId="30" xfId="0" applyNumberFormat="1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184" fontId="61" fillId="0" borderId="28" xfId="0" applyNumberFormat="1" applyFont="1" applyBorder="1" applyAlignment="1">
      <alignment horizontal="center" vertical="top" wrapText="1"/>
    </xf>
    <xf numFmtId="184" fontId="61" fillId="0" borderId="29" xfId="0" applyNumberFormat="1" applyFont="1" applyBorder="1" applyAlignment="1">
      <alignment horizontal="center" vertical="top" wrapText="1"/>
    </xf>
    <xf numFmtId="0" fontId="58" fillId="0" borderId="28" xfId="0" applyFont="1" applyBorder="1" applyAlignment="1">
      <alignment vertical="top" wrapText="1"/>
    </xf>
    <xf numFmtId="0" fontId="58" fillId="0" borderId="29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31" xfId="0" applyFont="1" applyBorder="1" applyAlignment="1">
      <alignment horizontal="center" vertical="top" wrapText="1"/>
    </xf>
    <xf numFmtId="0" fontId="58" fillId="0" borderId="30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184" fontId="61" fillId="0" borderId="12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top" wrapText="1"/>
    </xf>
    <xf numFmtId="0" fontId="61" fillId="0" borderId="28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184" fontId="61" fillId="0" borderId="22" xfId="0" applyNumberFormat="1" applyFont="1" applyBorder="1" applyAlignment="1">
      <alignment horizontal="left" vertical="center" wrapText="1"/>
    </xf>
    <xf numFmtId="184" fontId="61" fillId="0" borderId="26" xfId="0" applyNumberFormat="1" applyFont="1" applyBorder="1" applyAlignment="1">
      <alignment horizontal="left" vertical="center" wrapText="1"/>
    </xf>
    <xf numFmtId="184" fontId="61" fillId="0" borderId="33" xfId="0" applyNumberFormat="1" applyFont="1" applyBorder="1" applyAlignment="1">
      <alignment horizontal="left" vertical="center" wrapText="1"/>
    </xf>
    <xf numFmtId="0" fontId="78" fillId="0" borderId="0" xfId="0" applyFont="1" applyAlignment="1">
      <alignment horizontal="center"/>
    </xf>
    <xf numFmtId="0" fontId="58" fillId="0" borderId="34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184" fontId="58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 wrapText="1"/>
    </xf>
    <xf numFmtId="0" fontId="58" fillId="0" borderId="24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49" fontId="58" fillId="0" borderId="12" xfId="0" applyNumberFormat="1" applyFont="1" applyFill="1" applyBorder="1" applyAlignment="1">
      <alignment horizontal="center" vertical="top"/>
    </xf>
    <xf numFmtId="184" fontId="71" fillId="0" borderId="12" xfId="0" applyNumberFormat="1" applyFont="1" applyFill="1" applyBorder="1" applyAlignment="1">
      <alignment horizontal="center" vertical="center" wrapText="1"/>
    </xf>
    <xf numFmtId="184" fontId="58" fillId="0" borderId="12" xfId="0" applyNumberFormat="1" applyFont="1" applyFill="1" applyBorder="1" applyAlignment="1">
      <alignment horizontal="left" vertical="center" wrapText="1"/>
    </xf>
    <xf numFmtId="184" fontId="58" fillId="0" borderId="12" xfId="0" applyNumberFormat="1" applyFont="1" applyFill="1" applyBorder="1" applyAlignment="1">
      <alignment horizontal="center" vertical="top"/>
    </xf>
    <xf numFmtId="184" fontId="58" fillId="0" borderId="24" xfId="0" applyNumberFormat="1" applyFont="1" applyFill="1" applyBorder="1" applyAlignment="1">
      <alignment horizontal="center" vertical="top"/>
    </xf>
    <xf numFmtId="184" fontId="58" fillId="0" borderId="14" xfId="0" applyNumberFormat="1" applyFont="1" applyFill="1" applyBorder="1" applyAlignment="1">
      <alignment horizontal="center" vertical="top"/>
    </xf>
    <xf numFmtId="184" fontId="58" fillId="0" borderId="21" xfId="0" applyNumberFormat="1" applyFont="1" applyFill="1" applyBorder="1" applyAlignment="1">
      <alignment horizontal="center" vertical="top"/>
    </xf>
    <xf numFmtId="184" fontId="58" fillId="0" borderId="24" xfId="0" applyNumberFormat="1" applyFont="1" applyFill="1" applyBorder="1" applyAlignment="1">
      <alignment horizontal="left" vertical="center" wrapText="1"/>
    </xf>
    <xf numFmtId="184" fontId="58" fillId="0" borderId="14" xfId="0" applyNumberFormat="1" applyFont="1" applyFill="1" applyBorder="1" applyAlignment="1">
      <alignment horizontal="left" vertical="center" wrapText="1"/>
    </xf>
    <xf numFmtId="184" fontId="58" fillId="0" borderId="21" xfId="0" applyNumberFormat="1" applyFont="1" applyFill="1" applyBorder="1" applyAlignment="1">
      <alignment horizontal="left" vertical="center" wrapText="1"/>
    </xf>
    <xf numFmtId="184" fontId="58" fillId="0" borderId="24" xfId="0" applyNumberFormat="1" applyFont="1" applyFill="1" applyBorder="1" applyAlignment="1">
      <alignment horizontal="center" vertical="center" wrapText="1"/>
    </xf>
    <xf numFmtId="184" fontId="58" fillId="0" borderId="14" xfId="0" applyNumberFormat="1" applyFont="1" applyFill="1" applyBorder="1" applyAlignment="1">
      <alignment horizontal="center" vertical="center" wrapText="1"/>
    </xf>
    <xf numFmtId="184" fontId="58" fillId="0" borderId="21" xfId="0" applyNumberFormat="1" applyFont="1" applyFill="1" applyBorder="1" applyAlignment="1">
      <alignment horizontal="center" vertical="center" wrapText="1"/>
    </xf>
    <xf numFmtId="184" fontId="58" fillId="0" borderId="12" xfId="0" applyNumberFormat="1" applyFont="1" applyFill="1" applyBorder="1" applyAlignment="1">
      <alignment horizontal="center" vertical="center" wrapText="1"/>
    </xf>
    <xf numFmtId="184" fontId="58" fillId="0" borderId="24" xfId="0" applyNumberFormat="1" applyFont="1" applyFill="1" applyBorder="1" applyAlignment="1">
      <alignment horizontal="center" vertical="top" wrapText="1"/>
    </xf>
    <xf numFmtId="184" fontId="58" fillId="0" borderId="14" xfId="0" applyNumberFormat="1" applyFont="1" applyFill="1" applyBorder="1" applyAlignment="1">
      <alignment horizontal="center" vertical="top" wrapText="1"/>
    </xf>
    <xf numFmtId="184" fontId="58" fillId="0" borderId="21" xfId="0" applyNumberFormat="1" applyFont="1" applyFill="1" applyBorder="1" applyAlignment="1">
      <alignment horizontal="center" vertical="top" wrapText="1"/>
    </xf>
    <xf numFmtId="184" fontId="58" fillId="0" borderId="24" xfId="0" applyNumberFormat="1" applyFont="1" applyFill="1" applyBorder="1" applyAlignment="1">
      <alignment horizontal="left" vertical="top" wrapText="1"/>
    </xf>
    <xf numFmtId="184" fontId="58" fillId="0" borderId="14" xfId="0" applyNumberFormat="1" applyFont="1" applyFill="1" applyBorder="1" applyAlignment="1">
      <alignment horizontal="left" vertical="top" wrapText="1"/>
    </xf>
    <xf numFmtId="184" fontId="58" fillId="0" borderId="21" xfId="0" applyNumberFormat="1" applyFont="1" applyFill="1" applyBorder="1" applyAlignment="1">
      <alignment horizontal="left" vertical="top" wrapText="1"/>
    </xf>
    <xf numFmtId="184" fontId="76" fillId="0" borderId="24" xfId="0" applyNumberFormat="1" applyFont="1" applyFill="1" applyBorder="1" applyAlignment="1">
      <alignment horizontal="left" vertical="center" wrapText="1"/>
    </xf>
    <xf numFmtId="184" fontId="76" fillId="0" borderId="14" xfId="0" applyNumberFormat="1" applyFont="1" applyFill="1" applyBorder="1" applyAlignment="1">
      <alignment horizontal="left" vertical="center" wrapText="1"/>
    </xf>
    <xf numFmtId="184" fontId="76" fillId="0" borderId="21" xfId="0" applyNumberFormat="1" applyFont="1" applyFill="1" applyBorder="1" applyAlignment="1">
      <alignment horizontal="left" vertical="center" wrapText="1"/>
    </xf>
    <xf numFmtId="184" fontId="62" fillId="0" borderId="24" xfId="0" applyNumberFormat="1" applyFont="1" applyFill="1" applyBorder="1" applyAlignment="1">
      <alignment horizontal="center" vertical="top" wrapText="1"/>
    </xf>
    <xf numFmtId="184" fontId="62" fillId="0" borderId="14" xfId="0" applyNumberFormat="1" applyFont="1" applyFill="1" applyBorder="1" applyAlignment="1">
      <alignment horizontal="center" vertical="top" wrapText="1"/>
    </xf>
    <xf numFmtId="184" fontId="62" fillId="0" borderId="21" xfId="0" applyNumberFormat="1" applyFont="1" applyFill="1" applyBorder="1" applyAlignment="1">
      <alignment horizontal="center" vertical="top" wrapText="1"/>
    </xf>
    <xf numFmtId="184" fontId="0" fillId="0" borderId="24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0" fillId="0" borderId="21" xfId="0" applyNumberFormat="1" applyFill="1" applyBorder="1" applyAlignment="1">
      <alignment horizontal="center" wrapText="1"/>
    </xf>
    <xf numFmtId="184" fontId="69" fillId="0" borderId="24" xfId="0" applyNumberFormat="1" applyFont="1" applyFill="1" applyBorder="1" applyAlignment="1">
      <alignment horizontal="center" vertical="center"/>
    </xf>
    <xf numFmtId="184" fontId="69" fillId="0" borderId="14" xfId="0" applyNumberFormat="1" applyFont="1" applyFill="1" applyBorder="1" applyAlignment="1">
      <alignment horizontal="center" vertical="center"/>
    </xf>
    <xf numFmtId="184" fontId="69" fillId="0" borderId="21" xfId="0" applyNumberFormat="1" applyFont="1" applyFill="1" applyBorder="1" applyAlignment="1">
      <alignment horizontal="center" vertical="center"/>
    </xf>
    <xf numFmtId="184" fontId="70" fillId="0" borderId="15" xfId="0" applyNumberFormat="1" applyFont="1" applyFill="1" applyBorder="1" applyAlignment="1">
      <alignment horizontal="center" vertical="top" wrapText="1"/>
    </xf>
    <xf numFmtId="184" fontId="70" fillId="0" borderId="16" xfId="0" applyNumberFormat="1" applyFont="1" applyFill="1" applyBorder="1" applyAlignment="1">
      <alignment horizontal="center" vertical="top" wrapText="1"/>
    </xf>
    <xf numFmtId="184" fontId="70" fillId="0" borderId="17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69" fillId="0" borderId="22" xfId="0" applyNumberFormat="1" applyFont="1" applyFill="1" applyBorder="1" applyAlignment="1">
      <alignment horizontal="center" vertical="top" wrapText="1"/>
    </xf>
    <xf numFmtId="184" fontId="69" fillId="0" borderId="26" xfId="0" applyNumberFormat="1" applyFont="1" applyFill="1" applyBorder="1" applyAlignment="1">
      <alignment horizontal="center" vertical="top" wrapText="1"/>
    </xf>
    <xf numFmtId="184" fontId="69" fillId="0" borderId="33" xfId="0" applyNumberFormat="1" applyFont="1" applyFill="1" applyBorder="1" applyAlignment="1">
      <alignment horizontal="center" vertical="top" wrapText="1"/>
    </xf>
    <xf numFmtId="184" fontId="63" fillId="0" borderId="22" xfId="0" applyNumberFormat="1" applyFont="1" applyFill="1" applyBorder="1" applyAlignment="1">
      <alignment horizontal="center" vertical="top" wrapText="1"/>
    </xf>
    <xf numFmtId="184" fontId="63" fillId="0" borderId="23" xfId="0" applyNumberFormat="1" applyFont="1" applyFill="1" applyBorder="1" applyAlignment="1">
      <alignment horizontal="center" vertical="top" wrapText="1"/>
    </xf>
    <xf numFmtId="184" fontId="63" fillId="0" borderId="26" xfId="0" applyNumberFormat="1" applyFont="1" applyFill="1" applyBorder="1" applyAlignment="1">
      <alignment horizontal="center" vertical="top" wrapText="1"/>
    </xf>
    <xf numFmtId="184" fontId="63" fillId="0" borderId="0" xfId="0" applyNumberFormat="1" applyFont="1" applyFill="1" applyBorder="1" applyAlignment="1">
      <alignment horizontal="center" vertical="top" wrapText="1"/>
    </xf>
    <xf numFmtId="184" fontId="63" fillId="0" borderId="33" xfId="0" applyNumberFormat="1" applyFont="1" applyFill="1" applyBorder="1" applyAlignment="1">
      <alignment horizontal="center" vertical="top" wrapText="1"/>
    </xf>
    <xf numFmtId="184" fontId="63" fillId="0" borderId="35" xfId="0" applyNumberFormat="1" applyFont="1" applyFill="1" applyBorder="1" applyAlignment="1">
      <alignment horizontal="center" vertical="top" wrapText="1"/>
    </xf>
    <xf numFmtId="184" fontId="62" fillId="0" borderId="15" xfId="0" applyNumberFormat="1" applyFont="1" applyFill="1" applyBorder="1" applyAlignment="1">
      <alignment horizontal="center" vertical="top" wrapText="1"/>
    </xf>
    <xf numFmtId="184" fontId="62" fillId="0" borderId="16" xfId="0" applyNumberFormat="1" applyFont="1" applyFill="1" applyBorder="1" applyAlignment="1">
      <alignment horizontal="center" vertical="top" wrapText="1"/>
    </xf>
    <xf numFmtId="184" fontId="62" fillId="0" borderId="17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0" fillId="0" borderId="15" xfId="0" applyNumberFormat="1" applyFill="1" applyBorder="1" applyAlignment="1">
      <alignment horizontal="center" wrapText="1"/>
    </xf>
    <xf numFmtId="184" fontId="0" fillId="0" borderId="16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63" fillId="0" borderId="36" xfId="0" applyNumberFormat="1" applyFont="1" applyFill="1" applyBorder="1" applyAlignment="1">
      <alignment horizontal="center" vertical="top" wrapText="1"/>
    </xf>
    <xf numFmtId="184" fontId="63" fillId="0" borderId="25" xfId="0" applyNumberFormat="1" applyFont="1" applyFill="1" applyBorder="1" applyAlignment="1">
      <alignment horizontal="center" vertical="top" wrapText="1"/>
    </xf>
    <xf numFmtId="184" fontId="63" fillId="0" borderId="27" xfId="0" applyNumberFormat="1" applyFont="1" applyFill="1" applyBorder="1" applyAlignment="1">
      <alignment horizontal="center" vertical="top" wrapText="1"/>
    </xf>
    <xf numFmtId="184" fontId="69" fillId="0" borderId="36" xfId="0" applyNumberFormat="1" applyFont="1" applyFill="1" applyBorder="1" applyAlignment="1">
      <alignment horizontal="center" vertical="top" wrapText="1"/>
    </xf>
    <xf numFmtId="184" fontId="69" fillId="0" borderId="25" xfId="0" applyNumberFormat="1" applyFont="1" applyFill="1" applyBorder="1" applyAlignment="1">
      <alignment horizontal="center" vertical="top" wrapText="1"/>
    </xf>
    <xf numFmtId="184" fontId="69" fillId="0" borderId="27" xfId="0" applyNumberFormat="1" applyFont="1" applyFill="1" applyBorder="1" applyAlignment="1">
      <alignment horizontal="center" vertical="top" wrapText="1"/>
    </xf>
    <xf numFmtId="0" fontId="79" fillId="0" borderId="0" xfId="0" applyFont="1" applyFill="1" applyAlignment="1">
      <alignment horizontal="center"/>
    </xf>
    <xf numFmtId="0" fontId="62" fillId="0" borderId="12" xfId="0" applyFont="1" applyFill="1" applyBorder="1" applyAlignment="1">
      <alignment horizontal="center" vertical="top" wrapText="1"/>
    </xf>
    <xf numFmtId="177" fontId="62" fillId="0" borderId="12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1" fontId="58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 vertical="top" wrapText="1"/>
    </xf>
    <xf numFmtId="1" fontId="58" fillId="0" borderId="12" xfId="0" applyNumberFormat="1" applyFont="1" applyFill="1" applyBorder="1" applyAlignment="1">
      <alignment horizontal="center" vertical="center" wrapText="1"/>
    </xf>
    <xf numFmtId="1" fontId="58" fillId="0" borderId="24" xfId="0" applyNumberFormat="1" applyFont="1" applyFill="1" applyBorder="1" applyAlignment="1">
      <alignment horizontal="center" vertical="center" wrapText="1"/>
    </xf>
    <xf numFmtId="1" fontId="58" fillId="0" borderId="14" xfId="0" applyNumberFormat="1" applyFont="1" applyFill="1" applyBorder="1" applyAlignment="1">
      <alignment horizontal="center" vertical="center" wrapText="1"/>
    </xf>
    <xf numFmtId="1" fontId="58" fillId="0" borderId="21" xfId="0" applyNumberFormat="1" applyFont="1" applyFill="1" applyBorder="1" applyAlignment="1">
      <alignment horizontal="center" vertical="center" wrapText="1"/>
    </xf>
    <xf numFmtId="1" fontId="58" fillId="0" borderId="24" xfId="0" applyNumberFormat="1" applyFont="1" applyFill="1" applyBorder="1" applyAlignment="1">
      <alignment horizontal="center" vertical="top" wrapText="1"/>
    </xf>
    <xf numFmtId="1" fontId="58" fillId="0" borderId="21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left" vertical="top" wrapText="1"/>
    </xf>
    <xf numFmtId="184" fontId="76" fillId="0" borderId="12" xfId="0" applyNumberFormat="1" applyFont="1" applyFill="1" applyBorder="1" applyAlignment="1">
      <alignment horizontal="left" vertical="top" wrapText="1"/>
    </xf>
    <xf numFmtId="184" fontId="58" fillId="0" borderId="12" xfId="0" applyNumberFormat="1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wrapText="1"/>
    </xf>
    <xf numFmtId="184" fontId="58" fillId="0" borderId="24" xfId="0" applyNumberFormat="1" applyFont="1" applyFill="1" applyBorder="1" applyAlignment="1">
      <alignment vertical="center" wrapText="1"/>
    </xf>
    <xf numFmtId="184" fontId="58" fillId="0" borderId="14" xfId="0" applyNumberFormat="1" applyFont="1" applyFill="1" applyBorder="1" applyAlignment="1">
      <alignment vertical="center" wrapText="1"/>
    </xf>
    <xf numFmtId="184" fontId="58" fillId="0" borderId="21" xfId="0" applyNumberFormat="1" applyFont="1" applyFill="1" applyBorder="1" applyAlignment="1">
      <alignment vertical="center" wrapText="1"/>
    </xf>
    <xf numFmtId="184" fontId="62" fillId="0" borderId="22" xfId="0" applyNumberFormat="1" applyFont="1" applyFill="1" applyBorder="1" applyAlignment="1">
      <alignment horizontal="center" vertical="top" wrapText="1"/>
    </xf>
    <xf numFmtId="184" fontId="62" fillId="0" borderId="26" xfId="0" applyNumberFormat="1" applyFont="1" applyFill="1" applyBorder="1" applyAlignment="1">
      <alignment horizontal="center" vertical="top" wrapText="1"/>
    </xf>
    <xf numFmtId="184" fontId="62" fillId="0" borderId="33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84" fontId="71" fillId="0" borderId="15" xfId="0" applyNumberFormat="1" applyFont="1" applyFill="1" applyBorder="1" applyAlignment="1">
      <alignment horizontal="center" vertical="top" wrapText="1"/>
    </xf>
    <xf numFmtId="184" fontId="71" fillId="0" borderId="16" xfId="0" applyNumberFormat="1" applyFont="1" applyFill="1" applyBorder="1" applyAlignment="1">
      <alignment horizontal="center" vertical="top" wrapText="1"/>
    </xf>
    <xf numFmtId="184" fontId="71" fillId="0" borderId="17" xfId="0" applyNumberFormat="1" applyFont="1" applyFill="1" applyBorder="1" applyAlignment="1">
      <alignment horizontal="center" vertical="top" wrapText="1"/>
    </xf>
    <xf numFmtId="184" fontId="61" fillId="0" borderId="15" xfId="0" applyNumberFormat="1" applyFont="1" applyFill="1" applyBorder="1" applyAlignment="1">
      <alignment vertical="top" wrapText="1"/>
    </xf>
    <xf numFmtId="184" fontId="61" fillId="0" borderId="16" xfId="0" applyNumberFormat="1" applyFont="1" applyFill="1" applyBorder="1" applyAlignment="1">
      <alignment vertical="top" wrapText="1"/>
    </xf>
    <xf numFmtId="184" fontId="61" fillId="0" borderId="17" xfId="0" applyNumberFormat="1" applyFont="1" applyFill="1" applyBorder="1" applyAlignment="1">
      <alignment vertical="top" wrapText="1"/>
    </xf>
    <xf numFmtId="184" fontId="76" fillId="0" borderId="24" xfId="0" applyNumberFormat="1" applyFont="1" applyFill="1" applyBorder="1" applyAlignment="1">
      <alignment horizontal="center" vertical="top" wrapText="1"/>
    </xf>
    <xf numFmtId="184" fontId="76" fillId="0" borderId="14" xfId="0" applyNumberFormat="1" applyFont="1" applyFill="1" applyBorder="1" applyAlignment="1">
      <alignment horizontal="center" vertical="top" wrapText="1"/>
    </xf>
    <xf numFmtId="184" fontId="76" fillId="0" borderId="21" xfId="0" applyNumberFormat="1" applyFont="1" applyFill="1" applyBorder="1" applyAlignment="1">
      <alignment horizontal="center" vertical="top" wrapText="1"/>
    </xf>
    <xf numFmtId="184" fontId="58" fillId="0" borderId="22" xfId="0" applyNumberFormat="1" applyFont="1" applyFill="1" applyBorder="1" applyAlignment="1">
      <alignment horizontal="center" vertical="top" wrapText="1"/>
    </xf>
    <xf numFmtId="184" fontId="58" fillId="0" borderId="26" xfId="0" applyNumberFormat="1" applyFont="1" applyFill="1" applyBorder="1" applyAlignment="1">
      <alignment horizontal="center" vertical="top" wrapText="1"/>
    </xf>
    <xf numFmtId="184" fontId="58" fillId="0" borderId="33" xfId="0" applyNumberFormat="1" applyFont="1" applyFill="1" applyBorder="1" applyAlignment="1">
      <alignment horizontal="center" vertical="top" wrapText="1"/>
    </xf>
    <xf numFmtId="184" fontId="71" fillId="0" borderId="23" xfId="0" applyNumberFormat="1" applyFont="1" applyFill="1" applyBorder="1" applyAlignment="1">
      <alignment horizontal="center" vertical="top" wrapText="1"/>
    </xf>
    <xf numFmtId="184" fontId="71" fillId="0" borderId="0" xfId="0" applyNumberFormat="1" applyFont="1" applyFill="1" applyBorder="1" applyAlignment="1">
      <alignment horizontal="center" vertical="top" wrapText="1"/>
    </xf>
    <xf numFmtId="184" fontId="71" fillId="0" borderId="35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right"/>
    </xf>
    <xf numFmtId="49" fontId="58" fillId="0" borderId="24" xfId="0" applyNumberFormat="1" applyFont="1" applyFill="1" applyBorder="1" applyAlignment="1">
      <alignment horizontal="center" vertical="top"/>
    </xf>
    <xf numFmtId="49" fontId="58" fillId="0" borderId="14" xfId="0" applyNumberFormat="1" applyFont="1" applyFill="1" applyBorder="1" applyAlignment="1">
      <alignment horizontal="center" vertical="top"/>
    </xf>
    <xf numFmtId="49" fontId="58" fillId="0" borderId="21" xfId="0" applyNumberFormat="1" applyFont="1" applyFill="1" applyBorder="1" applyAlignment="1">
      <alignment horizontal="center" vertical="top"/>
    </xf>
    <xf numFmtId="184" fontId="63" fillId="0" borderId="15" xfId="0" applyNumberFormat="1" applyFont="1" applyFill="1" applyBorder="1" applyAlignment="1">
      <alignment horizontal="center" wrapText="1"/>
    </xf>
    <xf numFmtId="184" fontId="63" fillId="0" borderId="16" xfId="0" applyNumberFormat="1" applyFont="1" applyFill="1" applyBorder="1" applyAlignment="1">
      <alignment horizontal="center" wrapText="1"/>
    </xf>
    <xf numFmtId="184" fontId="63" fillId="0" borderId="17" xfId="0" applyNumberFormat="1" applyFont="1" applyFill="1" applyBorder="1" applyAlignment="1">
      <alignment horizontal="center" wrapText="1"/>
    </xf>
    <xf numFmtId="184" fontId="69" fillId="0" borderId="24" xfId="0" applyNumberFormat="1" applyFont="1" applyFill="1" applyBorder="1" applyAlignment="1">
      <alignment horizontal="center" vertical="center" wrapText="1"/>
    </xf>
    <xf numFmtId="184" fontId="69" fillId="0" borderId="14" xfId="0" applyNumberFormat="1" applyFont="1" applyFill="1" applyBorder="1" applyAlignment="1">
      <alignment horizontal="center" vertical="center" wrapText="1"/>
    </xf>
    <xf numFmtId="184" fontId="69" fillId="0" borderId="21" xfId="0" applyNumberFormat="1" applyFont="1" applyFill="1" applyBorder="1" applyAlignment="1">
      <alignment horizontal="center" vertical="center" wrapText="1"/>
    </xf>
    <xf numFmtId="184" fontId="62" fillId="0" borderId="36" xfId="0" applyNumberFormat="1" applyFont="1" applyFill="1" applyBorder="1" applyAlignment="1">
      <alignment horizontal="center" vertical="top" wrapText="1"/>
    </xf>
    <xf numFmtId="184" fontId="62" fillId="0" borderId="25" xfId="0" applyNumberFormat="1" applyFont="1" applyFill="1" applyBorder="1" applyAlignment="1">
      <alignment horizontal="center" vertical="top" wrapText="1"/>
    </xf>
    <xf numFmtId="184" fontId="62" fillId="0" borderId="27" xfId="0" applyNumberFormat="1" applyFont="1" applyFill="1" applyBorder="1" applyAlignment="1">
      <alignment horizontal="center" vertical="top" wrapText="1"/>
    </xf>
    <xf numFmtId="184" fontId="62" fillId="0" borderId="15" xfId="0" applyNumberFormat="1" applyFont="1" applyFill="1" applyBorder="1" applyAlignment="1">
      <alignment horizontal="center" wrapText="1"/>
    </xf>
    <xf numFmtId="184" fontId="62" fillId="0" borderId="16" xfId="0" applyNumberFormat="1" applyFont="1" applyFill="1" applyBorder="1" applyAlignment="1">
      <alignment horizontal="center" wrapText="1"/>
    </xf>
    <xf numFmtId="184" fontId="62" fillId="0" borderId="17" xfId="0" applyNumberFormat="1" applyFont="1" applyFill="1" applyBorder="1" applyAlignment="1">
      <alignment horizontal="center" wrapText="1"/>
    </xf>
    <xf numFmtId="0" fontId="62" fillId="0" borderId="24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62" fillId="0" borderId="15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176" fontId="67" fillId="0" borderId="12" xfId="0" applyNumberFormat="1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35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center" wrapText="1"/>
    </xf>
    <xf numFmtId="176" fontId="62" fillId="0" borderId="12" xfId="0" applyNumberFormat="1" applyFont="1" applyFill="1" applyBorder="1" applyAlignment="1">
      <alignment horizontal="center" vertical="top" wrapText="1"/>
    </xf>
    <xf numFmtId="0" fontId="61" fillId="0" borderId="24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left" vertical="top" wrapText="1"/>
    </xf>
    <xf numFmtId="0" fontId="61" fillId="0" borderId="23" xfId="0" applyFont="1" applyFill="1" applyBorder="1" applyAlignment="1">
      <alignment horizontal="left" vertical="top" wrapText="1"/>
    </xf>
    <xf numFmtId="0" fontId="61" fillId="0" borderId="36" xfId="0" applyFont="1" applyFill="1" applyBorder="1" applyAlignment="1">
      <alignment horizontal="left" vertical="top" wrapText="1"/>
    </xf>
    <xf numFmtId="0" fontId="61" fillId="0" borderId="33" xfId="0" applyFont="1" applyFill="1" applyBorder="1" applyAlignment="1">
      <alignment horizontal="left" vertical="top" wrapText="1"/>
    </xf>
    <xf numFmtId="0" fontId="61" fillId="0" borderId="35" xfId="0" applyFont="1" applyFill="1" applyBorder="1" applyAlignment="1">
      <alignment horizontal="left" vertical="top" wrapText="1"/>
    </xf>
    <xf numFmtId="0" fontId="61" fillId="0" borderId="27" xfId="0" applyFont="1" applyFill="1" applyBorder="1" applyAlignment="1">
      <alignment horizontal="left" vertical="top" wrapText="1"/>
    </xf>
    <xf numFmtId="0" fontId="71" fillId="0" borderId="37" xfId="0" applyFont="1" applyFill="1" applyBorder="1" applyAlignment="1">
      <alignment horizontal="center" wrapText="1"/>
    </xf>
    <xf numFmtId="0" fontId="71" fillId="0" borderId="16" xfId="0" applyFont="1" applyFill="1" applyBorder="1" applyAlignment="1">
      <alignment horizontal="center" wrapText="1"/>
    </xf>
    <xf numFmtId="0" fontId="63" fillId="0" borderId="24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84" fontId="62" fillId="0" borderId="33" xfId="0" applyNumberFormat="1" applyFont="1" applyFill="1" applyBorder="1" applyAlignment="1">
      <alignment horizontal="left" vertical="center" wrapText="1"/>
    </xf>
    <xf numFmtId="184" fontId="62" fillId="0" borderId="35" xfId="0" applyNumberFormat="1" applyFont="1" applyFill="1" applyBorder="1" applyAlignment="1">
      <alignment horizontal="left" vertical="center" wrapText="1"/>
    </xf>
    <xf numFmtId="184" fontId="62" fillId="0" borderId="27" xfId="0" applyNumberFormat="1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184" fontId="62" fillId="0" borderId="12" xfId="0" applyNumberFormat="1" applyFont="1" applyFill="1" applyBorder="1" applyAlignment="1">
      <alignment horizontal="left" vertical="center" wrapText="1"/>
    </xf>
    <xf numFmtId="176" fontId="69" fillId="0" borderId="24" xfId="0" applyNumberFormat="1" applyFont="1" applyFill="1" applyBorder="1" applyAlignment="1">
      <alignment horizontal="center" vertical="center"/>
    </xf>
    <xf numFmtId="176" fontId="69" fillId="0" borderId="14" xfId="0" applyNumberFormat="1" applyFont="1" applyFill="1" applyBorder="1" applyAlignment="1">
      <alignment horizontal="center" vertical="center"/>
    </xf>
    <xf numFmtId="176" fontId="69" fillId="0" borderId="21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/>
    </xf>
    <xf numFmtId="0" fontId="66" fillId="0" borderId="35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/>
    </xf>
    <xf numFmtId="0" fontId="61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justify" vertical="top" wrapText="1"/>
    </xf>
    <xf numFmtId="0" fontId="66" fillId="0" borderId="15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vertical="top" wrapText="1"/>
    </xf>
    <xf numFmtId="0" fontId="61" fillId="0" borderId="17" xfId="0" applyFont="1" applyFill="1" applyBorder="1" applyAlignment="1">
      <alignment vertical="top" wrapText="1"/>
    </xf>
    <xf numFmtId="0" fontId="65" fillId="0" borderId="36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65" fillId="0" borderId="22" xfId="0" applyFont="1" applyFill="1" applyBorder="1" applyAlignment="1">
      <alignment horizontal="center" vertical="top" wrapText="1"/>
    </xf>
    <xf numFmtId="0" fontId="61" fillId="0" borderId="36" xfId="0" applyFont="1" applyFill="1" applyBorder="1" applyAlignment="1">
      <alignment vertical="top" wrapText="1"/>
    </xf>
    <xf numFmtId="0" fontId="61" fillId="0" borderId="26" xfId="0" applyFont="1" applyFill="1" applyBorder="1" applyAlignment="1">
      <alignment vertical="top" wrapText="1"/>
    </xf>
    <xf numFmtId="0" fontId="61" fillId="0" borderId="25" xfId="0" applyFont="1" applyFill="1" applyBorder="1" applyAlignment="1">
      <alignment vertical="top" wrapText="1"/>
    </xf>
    <xf numFmtId="0" fontId="61" fillId="0" borderId="33" xfId="0" applyFont="1" applyFill="1" applyBorder="1" applyAlignment="1">
      <alignment vertical="top" wrapText="1"/>
    </xf>
    <xf numFmtId="0" fontId="61" fillId="0" borderId="27" xfId="0" applyFont="1" applyFill="1" applyBorder="1" applyAlignment="1">
      <alignment vertical="top" wrapText="1"/>
    </xf>
    <xf numFmtId="0" fontId="65" fillId="0" borderId="24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3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77" fillId="0" borderId="12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" fillId="0" borderId="2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58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SheetLayoutView="100" zoomScalePageLayoutView="0" workbookViewId="0" topLeftCell="A25">
      <selection activeCell="F42" sqref="F42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2.421875" style="0" bestFit="1" customWidth="1"/>
    <col min="6" max="6" width="15.8515625" style="0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279"/>
      <c r="L1" s="279"/>
    </row>
    <row r="2" spans="1:12" ht="14.25">
      <c r="A2" s="285" t="s">
        <v>301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2.75" customHeight="1">
      <c r="A3" s="93"/>
      <c r="B3" s="93"/>
      <c r="C3" s="93"/>
      <c r="D3" s="93"/>
      <c r="E3" s="93"/>
      <c r="F3" s="93"/>
      <c r="G3" s="93"/>
      <c r="H3" s="93"/>
      <c r="I3" s="93"/>
      <c r="J3" s="286" t="s">
        <v>304</v>
      </c>
      <c r="K3" s="286"/>
      <c r="L3" s="286"/>
    </row>
    <row r="4" spans="1:12" ht="14.25">
      <c r="A4" s="12"/>
      <c r="B4" s="12"/>
      <c r="C4" s="12"/>
      <c r="D4" s="12"/>
      <c r="E4" s="12"/>
      <c r="F4" s="122"/>
      <c r="G4" s="16"/>
      <c r="H4" s="12"/>
      <c r="I4" s="91"/>
      <c r="J4" s="269" t="s">
        <v>299</v>
      </c>
      <c r="K4" s="269"/>
      <c r="L4" s="269"/>
    </row>
    <row r="5" spans="1:12" ht="14.25">
      <c r="A5" s="6"/>
      <c r="B5" s="6"/>
      <c r="C5" s="6"/>
      <c r="D5" s="7"/>
      <c r="E5" s="150"/>
      <c r="F5" s="6"/>
      <c r="G5" s="6"/>
      <c r="H5" s="10"/>
      <c r="I5" s="6"/>
      <c r="J5" s="6"/>
      <c r="K5" s="285"/>
      <c r="L5" s="285"/>
    </row>
    <row r="6" spans="1:12" ht="14.25">
      <c r="A6" s="6"/>
      <c r="B6" s="6"/>
      <c r="C6" s="6"/>
      <c r="D6" s="7"/>
      <c r="E6" s="6"/>
      <c r="F6" s="6"/>
      <c r="G6" s="6"/>
      <c r="H6" s="10"/>
      <c r="I6" s="6"/>
      <c r="J6" s="6"/>
      <c r="K6" s="13"/>
      <c r="L6" s="13"/>
    </row>
    <row r="7" ht="18" thickBot="1">
      <c r="B7" s="3" t="s">
        <v>17</v>
      </c>
    </row>
    <row r="8" spans="1:11" ht="26.25" customHeight="1">
      <c r="A8" s="263" t="s">
        <v>0</v>
      </c>
      <c r="B8" s="249" t="s">
        <v>140</v>
      </c>
      <c r="C8" s="266" t="s">
        <v>2</v>
      </c>
      <c r="D8" s="17" t="s">
        <v>3</v>
      </c>
      <c r="E8" s="283"/>
      <c r="F8" s="248"/>
      <c r="G8" s="248"/>
      <c r="H8" s="284"/>
      <c r="I8" s="284"/>
      <c r="J8" s="287" t="s">
        <v>7</v>
      </c>
      <c r="K8" s="280" t="s">
        <v>141</v>
      </c>
    </row>
    <row r="9" spans="1:11" ht="15.75" customHeight="1">
      <c r="A9" s="264"/>
      <c r="B9" s="250"/>
      <c r="C9" s="267"/>
      <c r="D9" s="17" t="s">
        <v>4</v>
      </c>
      <c r="E9" s="248" t="s">
        <v>209</v>
      </c>
      <c r="F9" s="248" t="s">
        <v>6</v>
      </c>
      <c r="G9" s="248"/>
      <c r="H9" s="248"/>
      <c r="I9" s="248"/>
      <c r="J9" s="288"/>
      <c r="K9" s="281"/>
    </row>
    <row r="10" spans="1:11" ht="20.25" customHeight="1" thickBot="1">
      <c r="A10" s="265"/>
      <c r="B10" s="251"/>
      <c r="C10" s="268"/>
      <c r="D10" s="18"/>
      <c r="E10" s="248"/>
      <c r="F10" s="248" t="s">
        <v>208</v>
      </c>
      <c r="G10" s="248"/>
      <c r="H10" s="248"/>
      <c r="I10" s="248" t="s">
        <v>8</v>
      </c>
      <c r="J10" s="288"/>
      <c r="K10" s="282"/>
    </row>
    <row r="11" spans="1:11" ht="21" customHeight="1" thickBot="1">
      <c r="A11" s="15"/>
      <c r="B11" s="1"/>
      <c r="C11" s="20"/>
      <c r="D11" s="18"/>
      <c r="E11" s="248"/>
      <c r="F11" s="248" t="s">
        <v>199</v>
      </c>
      <c r="G11" s="248" t="s">
        <v>200</v>
      </c>
      <c r="H11" s="248"/>
      <c r="I11" s="248"/>
      <c r="J11" s="288"/>
      <c r="K11" s="1"/>
    </row>
    <row r="12" spans="1:11" ht="39" customHeight="1" thickBot="1">
      <c r="A12" s="15"/>
      <c r="B12" s="1"/>
      <c r="C12" s="20"/>
      <c r="D12" s="18"/>
      <c r="E12" s="248"/>
      <c r="F12" s="248"/>
      <c r="G12" s="17" t="s">
        <v>201</v>
      </c>
      <c r="H12" s="17" t="s">
        <v>203</v>
      </c>
      <c r="I12" s="248"/>
      <c r="J12" s="289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258" t="s">
        <v>9</v>
      </c>
      <c r="B14" s="273" t="s">
        <v>378</v>
      </c>
      <c r="C14" s="73">
        <v>2017</v>
      </c>
      <c r="D14" s="74">
        <f>H14+I14+J14</f>
        <v>83856.64676000002</v>
      </c>
      <c r="E14" s="74"/>
      <c r="F14" s="74">
        <f>G14+H14</f>
        <v>9038.8</v>
      </c>
      <c r="G14" s="74"/>
      <c r="H14" s="74">
        <f>H22</f>
        <v>9038.8</v>
      </c>
      <c r="I14" s="74">
        <f>I22+I30+I38</f>
        <v>74817.84676000001</v>
      </c>
      <c r="J14" s="74">
        <v>0</v>
      </c>
      <c r="K14" s="258" t="s">
        <v>10</v>
      </c>
    </row>
    <row r="15" spans="1:11" ht="20.25" customHeight="1" thickBot="1">
      <c r="A15" s="259"/>
      <c r="B15" s="274"/>
      <c r="C15" s="73">
        <v>2018</v>
      </c>
      <c r="D15" s="74">
        <f>H15+I15+J15</f>
        <v>81456.39127</v>
      </c>
      <c r="E15" s="74"/>
      <c r="F15" s="74">
        <f>H15+G15</f>
        <v>10207.418000000001</v>
      </c>
      <c r="G15" s="74"/>
      <c r="H15" s="74">
        <f>SUM(H23+H31+H39)</f>
        <v>10207.418000000001</v>
      </c>
      <c r="I15" s="74">
        <f>SUM(I23+I31+I39)</f>
        <v>65309.934519999995</v>
      </c>
      <c r="J15" s="74">
        <f aca="true" t="shared" si="0" ref="J15:J20">J23</f>
        <v>5939.03875</v>
      </c>
      <c r="K15" s="259"/>
    </row>
    <row r="16" spans="1:11" ht="15.75" thickBot="1">
      <c r="A16" s="259"/>
      <c r="B16" s="274"/>
      <c r="C16" s="73">
        <v>2019</v>
      </c>
      <c r="D16" s="74">
        <f>F16+I16+J16</f>
        <v>94820.90904000001</v>
      </c>
      <c r="E16" s="74"/>
      <c r="F16" s="74">
        <f>G16+H16</f>
        <v>15341.064000000002</v>
      </c>
      <c r="G16" s="74">
        <f>G32</f>
        <v>4407.4</v>
      </c>
      <c r="H16" s="74">
        <f>H24+H32</f>
        <v>10933.664000000002</v>
      </c>
      <c r="I16" s="74">
        <f>I24+I32+I40</f>
        <v>69536.57411000002</v>
      </c>
      <c r="J16" s="74">
        <f t="shared" si="0"/>
        <v>9943.270929999999</v>
      </c>
      <c r="K16" s="259"/>
    </row>
    <row r="17" spans="1:11" ht="21" customHeight="1" thickBot="1">
      <c r="A17" s="259"/>
      <c r="B17" s="274"/>
      <c r="C17" s="73">
        <v>2020</v>
      </c>
      <c r="D17" s="74">
        <f>H17+I17+J17+E17</f>
        <v>87737.20133</v>
      </c>
      <c r="E17" s="74">
        <v>16.6</v>
      </c>
      <c r="F17" s="74">
        <f>H17</f>
        <v>11747.5</v>
      </c>
      <c r="G17" s="74"/>
      <c r="H17" s="74">
        <f>H25+H33</f>
        <v>11747.5</v>
      </c>
      <c r="I17" s="74">
        <f>I25+I33+I41+I46</f>
        <v>70091.44608</v>
      </c>
      <c r="J17" s="74">
        <f t="shared" si="0"/>
        <v>5881.65525</v>
      </c>
      <c r="K17" s="259"/>
    </row>
    <row r="18" spans="1:11" ht="21" customHeight="1" thickBot="1">
      <c r="A18" s="259"/>
      <c r="B18" s="274"/>
      <c r="C18" s="73">
        <v>2021</v>
      </c>
      <c r="D18" s="74">
        <f>E18+F18+I18+J18</f>
        <v>86484.61600000001</v>
      </c>
      <c r="E18" s="74">
        <f>16.6</f>
        <v>16.6</v>
      </c>
      <c r="F18" s="74">
        <f>H18+G18</f>
        <v>15155</v>
      </c>
      <c r="G18" s="74">
        <f>G34</f>
        <v>3348.5</v>
      </c>
      <c r="H18" s="74">
        <f>H26+H34</f>
        <v>11806.5</v>
      </c>
      <c r="I18" s="74">
        <f>I26+I34+I42+I47</f>
        <v>62343.016</v>
      </c>
      <c r="J18" s="74">
        <f t="shared" si="0"/>
        <v>8970</v>
      </c>
      <c r="K18" s="259"/>
    </row>
    <row r="19" spans="1:11" ht="21" customHeight="1" thickBot="1">
      <c r="A19" s="259"/>
      <c r="B19" s="274"/>
      <c r="C19" s="73">
        <v>2022</v>
      </c>
      <c r="D19" s="74">
        <f>E19+F19+I19+J19</f>
        <v>77614.74</v>
      </c>
      <c r="E19" s="74">
        <v>16.6</v>
      </c>
      <c r="F19" s="74">
        <f>H19+G19</f>
        <v>11581.2</v>
      </c>
      <c r="G19" s="74">
        <f>G27</f>
        <v>0</v>
      </c>
      <c r="H19" s="74">
        <f>H27+H35</f>
        <v>11581.2</v>
      </c>
      <c r="I19" s="74">
        <f>I27+I35+I43</f>
        <v>57046.94</v>
      </c>
      <c r="J19" s="74">
        <f t="shared" si="0"/>
        <v>8970</v>
      </c>
      <c r="K19" s="259"/>
    </row>
    <row r="20" spans="1:11" ht="21" customHeight="1" thickBot="1">
      <c r="A20" s="259"/>
      <c r="B20" s="275"/>
      <c r="C20" s="73">
        <v>2023</v>
      </c>
      <c r="D20" s="74">
        <f>E20+F20+I20+J20</f>
        <v>82253.62</v>
      </c>
      <c r="E20" s="74">
        <v>16.6</v>
      </c>
      <c r="F20" s="74">
        <f>H20+G20</f>
        <v>16263.6</v>
      </c>
      <c r="G20" s="74">
        <f>G29</f>
        <v>4682.4</v>
      </c>
      <c r="H20" s="74">
        <f>H28+H36+H49</f>
        <v>11581.2</v>
      </c>
      <c r="I20" s="74">
        <f>I28+I36+I44+I49</f>
        <v>57003.42</v>
      </c>
      <c r="J20" s="74">
        <f t="shared" si="0"/>
        <v>8970</v>
      </c>
      <c r="K20" s="259"/>
    </row>
    <row r="21" spans="1:11" ht="15" customHeight="1" thickBot="1">
      <c r="A21" s="260"/>
      <c r="B21" s="151" t="s">
        <v>11</v>
      </c>
      <c r="C21" s="152" t="s">
        <v>375</v>
      </c>
      <c r="D21" s="104">
        <f>SUM(D14:D20)</f>
        <v>594224.1244</v>
      </c>
      <c r="E21" s="104">
        <f aca="true" t="shared" si="1" ref="E21:J21">SUM(E14:E20)</f>
        <v>66.4</v>
      </c>
      <c r="F21" s="104">
        <f t="shared" si="1"/>
        <v>89334.58200000001</v>
      </c>
      <c r="G21" s="104">
        <f t="shared" si="1"/>
        <v>12438.3</v>
      </c>
      <c r="H21" s="104">
        <f t="shared" si="1"/>
        <v>76896.282</v>
      </c>
      <c r="I21" s="104">
        <f t="shared" si="1"/>
        <v>456149.17747</v>
      </c>
      <c r="J21" s="104">
        <f t="shared" si="1"/>
        <v>48673.96493</v>
      </c>
      <c r="K21" s="260"/>
    </row>
    <row r="22" spans="1:11" ht="30.75" customHeight="1" thickBot="1">
      <c r="A22" s="258" t="s">
        <v>12</v>
      </c>
      <c r="B22" s="273" t="s">
        <v>152</v>
      </c>
      <c r="C22" s="73">
        <v>2017</v>
      </c>
      <c r="D22" s="74">
        <f>H22+I22+J22</f>
        <v>83485.04676000001</v>
      </c>
      <c r="E22" s="74"/>
      <c r="F22" s="74">
        <f>G22+H22</f>
        <v>9038.8</v>
      </c>
      <c r="G22" s="74"/>
      <c r="H22" s="74">
        <f>'под. культура'!H739</f>
        <v>9038.8</v>
      </c>
      <c r="I22" s="74">
        <f>'под. культура'!I739</f>
        <v>74446.24676000001</v>
      </c>
      <c r="J22" s="74">
        <f>'под. культура'!J739</f>
        <v>0</v>
      </c>
      <c r="K22" s="258" t="s">
        <v>10</v>
      </c>
    </row>
    <row r="23" spans="1:11" ht="27" customHeight="1" thickBot="1">
      <c r="A23" s="259"/>
      <c r="B23" s="274"/>
      <c r="C23" s="73">
        <v>2018</v>
      </c>
      <c r="D23" s="74">
        <f>H23+I23+J23</f>
        <v>81020.64127</v>
      </c>
      <c r="E23" s="74"/>
      <c r="F23" s="74">
        <f>G23+H23</f>
        <v>10207.418000000001</v>
      </c>
      <c r="G23" s="74"/>
      <c r="H23" s="74">
        <f>'под. культура'!H740</f>
        <v>10207.418000000001</v>
      </c>
      <c r="I23" s="74">
        <f>'под. культура'!I740</f>
        <v>64874.184519999995</v>
      </c>
      <c r="J23" s="74">
        <f>'под. культура'!J716</f>
        <v>5939.03875</v>
      </c>
      <c r="K23" s="259"/>
    </row>
    <row r="24" spans="1:11" ht="27" customHeight="1" thickBot="1">
      <c r="A24" s="259"/>
      <c r="B24" s="274"/>
      <c r="C24" s="73">
        <v>2019</v>
      </c>
      <c r="D24" s="74">
        <f>H24+I24+J24</f>
        <v>89416.72404000002</v>
      </c>
      <c r="E24" s="74"/>
      <c r="F24" s="74">
        <f>G24+H24</f>
        <v>10602.964000000002</v>
      </c>
      <c r="G24" s="74"/>
      <c r="H24" s="74">
        <f>'под. культура'!H741</f>
        <v>10602.964000000002</v>
      </c>
      <c r="I24" s="74">
        <f>'под. культура'!I741</f>
        <v>68870.48911000001</v>
      </c>
      <c r="J24" s="74">
        <f>'под. культура'!J717</f>
        <v>9943.270929999999</v>
      </c>
      <c r="K24" s="259"/>
    </row>
    <row r="25" spans="1:11" ht="24.75" customHeight="1" thickBot="1">
      <c r="A25" s="259"/>
      <c r="B25" s="274"/>
      <c r="C25" s="73">
        <v>2020</v>
      </c>
      <c r="D25" s="74">
        <f>E25+F25+I25+J25</f>
        <v>86650.26683</v>
      </c>
      <c r="E25" s="74">
        <v>16.6</v>
      </c>
      <c r="F25" s="74">
        <f>G25+H25</f>
        <v>11163.9</v>
      </c>
      <c r="G25" s="74"/>
      <c r="H25" s="74">
        <f>'под. культура'!H742</f>
        <v>11163.9</v>
      </c>
      <c r="I25" s="74">
        <f>'под. культура'!I742</f>
        <v>69588.11158</v>
      </c>
      <c r="J25" s="74">
        <f>'под. культура'!J718</f>
        <v>5881.65525</v>
      </c>
      <c r="K25" s="259"/>
    </row>
    <row r="26" spans="1:11" ht="24.75" customHeight="1" thickBot="1">
      <c r="A26" s="259"/>
      <c r="B26" s="274"/>
      <c r="C26" s="73">
        <v>2021</v>
      </c>
      <c r="D26" s="74">
        <f>E26+F26+I26+J26</f>
        <v>64827.617</v>
      </c>
      <c r="E26" s="74">
        <v>16.6</v>
      </c>
      <c r="F26" s="74">
        <f>H26</f>
        <v>10757</v>
      </c>
      <c r="G26" s="74"/>
      <c r="H26" s="74">
        <f>'под. культура'!H743</f>
        <v>10757</v>
      </c>
      <c r="I26" s="74">
        <f>'под. культура'!I743</f>
        <v>45084.017</v>
      </c>
      <c r="J26" s="74">
        <f>'под. культура'!J743</f>
        <v>8970</v>
      </c>
      <c r="K26" s="259"/>
    </row>
    <row r="27" spans="1:11" ht="24.75" customHeight="1" thickBot="1">
      <c r="A27" s="259"/>
      <c r="B27" s="274"/>
      <c r="C27" s="73">
        <v>2022</v>
      </c>
      <c r="D27" s="74">
        <f>E27+F27+I27+J27</f>
        <v>61362.507</v>
      </c>
      <c r="E27" s="74">
        <v>16.6</v>
      </c>
      <c r="F27" s="74">
        <f>H27+G27</f>
        <v>10757</v>
      </c>
      <c r="G27" s="74">
        <f>'под. культура'!G744</f>
        <v>0</v>
      </c>
      <c r="H27" s="74">
        <f>'под. культура'!H744</f>
        <v>10757</v>
      </c>
      <c r="I27" s="74">
        <f>'под. культура'!I744</f>
        <v>41618.907</v>
      </c>
      <c r="J27" s="74">
        <f>'под. культура'!J744</f>
        <v>8970</v>
      </c>
      <c r="K27" s="259"/>
    </row>
    <row r="28" spans="1:11" ht="19.5" customHeight="1" thickBot="1">
      <c r="A28" s="259"/>
      <c r="B28" s="275"/>
      <c r="C28" s="73">
        <v>2023</v>
      </c>
      <c r="D28" s="74">
        <f>E28+F28+I28+J28</f>
        <v>66091.487</v>
      </c>
      <c r="E28" s="74">
        <f>'под. культура'!E745</f>
        <v>16.6</v>
      </c>
      <c r="F28" s="74">
        <f>H28+G28</f>
        <v>15439.4</v>
      </c>
      <c r="G28" s="74">
        <f>'под. культура'!G745</f>
        <v>4682.4</v>
      </c>
      <c r="H28" s="74">
        <f>'под. культура'!H745</f>
        <v>10757</v>
      </c>
      <c r="I28" s="74">
        <f>'под. культура'!I745</f>
        <v>41665.487</v>
      </c>
      <c r="J28" s="74">
        <f>'под. культура'!J745</f>
        <v>8970</v>
      </c>
      <c r="K28" s="259"/>
    </row>
    <row r="29" spans="1:11" ht="17.25" customHeight="1" thickBot="1">
      <c r="A29" s="260"/>
      <c r="B29" s="147" t="s">
        <v>13</v>
      </c>
      <c r="C29" s="148" t="s">
        <v>288</v>
      </c>
      <c r="D29" s="149">
        <f>SUM(D22:D28)</f>
        <v>532854.2899</v>
      </c>
      <c r="E29" s="149">
        <f>SUM(E25:E28)</f>
        <v>66.4</v>
      </c>
      <c r="F29" s="149">
        <f>SUM(F22:F28)</f>
        <v>77966.482</v>
      </c>
      <c r="G29" s="149">
        <f>G27+G28</f>
        <v>4682.4</v>
      </c>
      <c r="H29" s="149">
        <f>SUM(H22:H28)</f>
        <v>73284.082</v>
      </c>
      <c r="I29" s="149">
        <f>SUM(I22:I28)</f>
        <v>406147.44297000003</v>
      </c>
      <c r="J29" s="149">
        <f>SUM(J22:J28)</f>
        <v>48673.96493</v>
      </c>
      <c r="K29" s="260"/>
    </row>
    <row r="30" spans="1:11" ht="21" customHeight="1" thickBot="1">
      <c r="A30" s="258" t="s">
        <v>14</v>
      </c>
      <c r="B30" s="255" t="s">
        <v>158</v>
      </c>
      <c r="C30" s="73">
        <v>2017</v>
      </c>
      <c r="D30" s="74">
        <f>I30</f>
        <v>358.5</v>
      </c>
      <c r="E30" s="75"/>
      <c r="F30" s="75"/>
      <c r="G30" s="75"/>
      <c r="H30" s="75"/>
      <c r="I30" s="74">
        <f>'подпр Физ и спорт'!O61</f>
        <v>358.5</v>
      </c>
      <c r="J30" s="75"/>
      <c r="K30" s="258" t="s">
        <v>10</v>
      </c>
    </row>
    <row r="31" spans="1:11" ht="19.5" customHeight="1" thickBot="1">
      <c r="A31" s="259"/>
      <c r="B31" s="256"/>
      <c r="C31" s="73">
        <v>2018</v>
      </c>
      <c r="D31" s="74">
        <f>H31+I31</f>
        <v>428.5</v>
      </c>
      <c r="E31" s="74"/>
      <c r="F31" s="74"/>
      <c r="G31" s="74"/>
      <c r="H31" s="74"/>
      <c r="I31" s="74">
        <f>'подпр Физ и спорт'!O62+70</f>
        <v>428.5</v>
      </c>
      <c r="J31" s="75"/>
      <c r="K31" s="259"/>
    </row>
    <row r="32" spans="1:11" ht="15.75" thickBot="1">
      <c r="A32" s="259"/>
      <c r="B32" s="256"/>
      <c r="C32" s="73">
        <v>2019</v>
      </c>
      <c r="D32" s="74">
        <f>H32+I32+G32</f>
        <v>5391.084999999999</v>
      </c>
      <c r="E32" s="75"/>
      <c r="F32" s="74">
        <f>H32+G32</f>
        <v>4738.099999999999</v>
      </c>
      <c r="G32" s="74">
        <f>'подпр Физ и спорт'!H74</f>
        <v>4407.4</v>
      </c>
      <c r="H32" s="74">
        <f>'подпр Физ и спорт'!I143</f>
        <v>330.7</v>
      </c>
      <c r="I32" s="74">
        <f>'подпр Физ и спорт'!O143</f>
        <v>652.985</v>
      </c>
      <c r="J32" s="75"/>
      <c r="K32" s="259"/>
    </row>
    <row r="33" spans="1:11" ht="19.5" customHeight="1" thickBot="1">
      <c r="A33" s="259"/>
      <c r="B33" s="256"/>
      <c r="C33" s="73">
        <v>2020</v>
      </c>
      <c r="D33" s="74">
        <f>H33+I33</f>
        <v>1069.9875</v>
      </c>
      <c r="E33" s="75"/>
      <c r="F33" s="74">
        <f>G33+H33</f>
        <v>583.6</v>
      </c>
      <c r="G33" s="75"/>
      <c r="H33" s="74">
        <f>'подпр Физ и спорт'!I144</f>
        <v>583.6</v>
      </c>
      <c r="I33" s="74">
        <f>'подпр Физ и спорт'!O144</f>
        <v>486.3875</v>
      </c>
      <c r="J33" s="75"/>
      <c r="K33" s="259"/>
    </row>
    <row r="34" spans="1:11" ht="24" customHeight="1" thickBot="1">
      <c r="A34" s="259"/>
      <c r="B34" s="256"/>
      <c r="C34" s="73">
        <v>2021</v>
      </c>
      <c r="D34" s="74">
        <f>F34+I34</f>
        <v>21605.499</v>
      </c>
      <c r="E34" s="75"/>
      <c r="F34" s="74">
        <f>H34+G34</f>
        <v>4398</v>
      </c>
      <c r="G34" s="74">
        <f>'подпр Физ и спорт'!H145</f>
        <v>3348.5</v>
      </c>
      <c r="H34" s="74">
        <f>'подпр Физ и спорт'!I145</f>
        <v>1049.5</v>
      </c>
      <c r="I34" s="74">
        <f>'подпр Физ и спорт'!O145</f>
        <v>17207.499</v>
      </c>
      <c r="J34" s="75"/>
      <c r="K34" s="259"/>
    </row>
    <row r="35" spans="1:11" ht="24" customHeight="1" thickBot="1">
      <c r="A35" s="259"/>
      <c r="B35" s="256"/>
      <c r="C35" s="73">
        <v>2022</v>
      </c>
      <c r="D35" s="74">
        <f>I35+H35</f>
        <v>16252.233</v>
      </c>
      <c r="E35" s="75"/>
      <c r="F35" s="74">
        <f>H35</f>
        <v>824.2</v>
      </c>
      <c r="G35" s="75"/>
      <c r="H35" s="74">
        <f>'подпр Физ и спорт'!I146</f>
        <v>824.2</v>
      </c>
      <c r="I35" s="74">
        <f>'подпр Физ и спорт'!O146</f>
        <v>15428.033</v>
      </c>
      <c r="J35" s="75"/>
      <c r="K35" s="259"/>
    </row>
    <row r="36" spans="1:11" ht="24" customHeight="1" thickBot="1">
      <c r="A36" s="259"/>
      <c r="B36" s="257"/>
      <c r="C36" s="73">
        <v>2023</v>
      </c>
      <c r="D36" s="74">
        <f>I36+F36</f>
        <v>16162.133000000002</v>
      </c>
      <c r="E36" s="75"/>
      <c r="F36" s="74">
        <f>H36</f>
        <v>824.2</v>
      </c>
      <c r="G36" s="75"/>
      <c r="H36" s="74">
        <f>'подпр Физ и спорт'!I146</f>
        <v>824.2</v>
      </c>
      <c r="I36" s="74">
        <f>'подпр Физ и спорт'!O147</f>
        <v>15337.933</v>
      </c>
      <c r="J36" s="75"/>
      <c r="K36" s="259"/>
    </row>
    <row r="37" spans="1:11" ht="18" customHeight="1" thickBot="1">
      <c r="A37" s="260"/>
      <c r="B37" s="147" t="s">
        <v>15</v>
      </c>
      <c r="C37" s="148" t="s">
        <v>376</v>
      </c>
      <c r="D37" s="149">
        <f>F37+I37</f>
        <v>61267.937500000015</v>
      </c>
      <c r="E37" s="149"/>
      <c r="F37" s="149">
        <f>SUM(F32:F36)</f>
        <v>11368.100000000002</v>
      </c>
      <c r="G37" s="149">
        <f>G32+G34</f>
        <v>7755.9</v>
      </c>
      <c r="H37" s="149">
        <f>SUM(H32:H36)</f>
        <v>3612.2</v>
      </c>
      <c r="I37" s="149">
        <f>SUM(I30:I36)</f>
        <v>49899.83750000001</v>
      </c>
      <c r="J37" s="149"/>
      <c r="K37" s="260"/>
    </row>
    <row r="38" spans="1:11" ht="18" customHeight="1" thickBot="1">
      <c r="A38" s="261" t="s">
        <v>16</v>
      </c>
      <c r="B38" s="252" t="s">
        <v>153</v>
      </c>
      <c r="C38" s="134">
        <v>2017</v>
      </c>
      <c r="D38" s="74">
        <f>I38</f>
        <v>13.1</v>
      </c>
      <c r="E38" s="75"/>
      <c r="F38" s="75"/>
      <c r="G38" s="75"/>
      <c r="H38" s="75"/>
      <c r="I38" s="74">
        <f>'подпр Прав культ'!I97</f>
        <v>13.1</v>
      </c>
      <c r="J38" s="75"/>
      <c r="K38" s="258" t="s">
        <v>10</v>
      </c>
    </row>
    <row r="39" spans="1:11" ht="14.25" customHeight="1">
      <c r="A39" s="262"/>
      <c r="B39" s="253"/>
      <c r="C39" s="136">
        <v>2018</v>
      </c>
      <c r="D39" s="137">
        <f>H39+I39</f>
        <v>7.25</v>
      </c>
      <c r="E39" s="112"/>
      <c r="F39" s="112"/>
      <c r="G39" s="112"/>
      <c r="H39" s="112"/>
      <c r="I39" s="137">
        <f>'подпр Прав культ'!I98</f>
        <v>7.25</v>
      </c>
      <c r="J39" s="112"/>
      <c r="K39" s="259"/>
    </row>
    <row r="40" spans="1:11" ht="15">
      <c r="A40" s="262"/>
      <c r="B40" s="254"/>
      <c r="C40" s="138">
        <v>2019</v>
      </c>
      <c r="D40" s="139">
        <f>'подпр Прав культ'!I99</f>
        <v>13.1</v>
      </c>
      <c r="E40" s="140"/>
      <c r="F40" s="140"/>
      <c r="G40" s="140"/>
      <c r="H40" s="140"/>
      <c r="I40" s="139">
        <f>D40</f>
        <v>13.1</v>
      </c>
      <c r="J40" s="140"/>
      <c r="K40" s="272"/>
    </row>
    <row r="41" spans="1:11" ht="18" customHeight="1">
      <c r="A41" s="262"/>
      <c r="B41" s="254"/>
      <c r="C41" s="138">
        <v>2020</v>
      </c>
      <c r="D41" s="139">
        <f>'подпр Прав культ'!I100</f>
        <v>10.807</v>
      </c>
      <c r="E41" s="140"/>
      <c r="F41" s="140"/>
      <c r="G41" s="140"/>
      <c r="H41" s="140"/>
      <c r="I41" s="139">
        <f>'подпр Прав культ'!I100</f>
        <v>10.807</v>
      </c>
      <c r="J41" s="141"/>
      <c r="K41" s="272"/>
    </row>
    <row r="42" spans="1:11" ht="18" customHeight="1">
      <c r="A42" s="262"/>
      <c r="B42" s="254"/>
      <c r="C42" s="138">
        <v>2021</v>
      </c>
      <c r="D42" s="139">
        <f>I42</f>
        <v>1.5</v>
      </c>
      <c r="E42" s="140"/>
      <c r="F42" s="140"/>
      <c r="G42" s="140"/>
      <c r="H42" s="140"/>
      <c r="I42" s="139">
        <f>'подпр Прав культ'!I101</f>
        <v>1.5</v>
      </c>
      <c r="J42" s="140"/>
      <c r="K42" s="272"/>
    </row>
    <row r="43" spans="1:11" ht="18" customHeight="1">
      <c r="A43" s="262"/>
      <c r="B43" s="254"/>
      <c r="C43" s="138">
        <v>2022</v>
      </c>
      <c r="D43" s="139">
        <f>I43</f>
        <v>0</v>
      </c>
      <c r="E43" s="140"/>
      <c r="F43" s="140"/>
      <c r="G43" s="140"/>
      <c r="H43" s="140"/>
      <c r="I43" s="139">
        <f>'подпр Прав культ'!I102</f>
        <v>0</v>
      </c>
      <c r="J43" s="140"/>
      <c r="K43" s="272"/>
    </row>
    <row r="44" spans="1:11" ht="18" customHeight="1">
      <c r="A44" s="262"/>
      <c r="B44" s="254"/>
      <c r="C44" s="138">
        <v>2023</v>
      </c>
      <c r="D44" s="139">
        <f>I44</f>
        <v>0</v>
      </c>
      <c r="E44" s="140"/>
      <c r="F44" s="140"/>
      <c r="G44" s="140"/>
      <c r="H44" s="140"/>
      <c r="I44" s="139">
        <f>'подпр Прав культ'!I103</f>
        <v>0</v>
      </c>
      <c r="J44" s="140"/>
      <c r="K44" s="272"/>
    </row>
    <row r="45" spans="1:11" ht="16.5" customHeight="1">
      <c r="A45" s="262"/>
      <c r="B45" s="142" t="s">
        <v>15</v>
      </c>
      <c r="C45" s="143" t="s">
        <v>375</v>
      </c>
      <c r="D45" s="143">
        <f>SUM(D38:D44)</f>
        <v>45.757000000000005</v>
      </c>
      <c r="E45" s="143"/>
      <c r="F45" s="143"/>
      <c r="G45" s="143"/>
      <c r="H45" s="143"/>
      <c r="I45" s="143">
        <f>SUM(I38:I44)</f>
        <v>45.757000000000005</v>
      </c>
      <c r="J45" s="143"/>
      <c r="K45" s="272"/>
    </row>
    <row r="46" spans="1:11" ht="16.5" customHeight="1">
      <c r="A46" s="270" t="s">
        <v>99</v>
      </c>
      <c r="B46" s="276" t="s">
        <v>360</v>
      </c>
      <c r="C46" s="135">
        <v>2020</v>
      </c>
      <c r="D46" s="133">
        <f>I46</f>
        <v>6.14</v>
      </c>
      <c r="E46" s="133"/>
      <c r="F46" s="133"/>
      <c r="G46" s="133"/>
      <c r="H46" s="133"/>
      <c r="I46" s="133">
        <f>'нац политика'!I17</f>
        <v>6.14</v>
      </c>
      <c r="J46" s="113"/>
      <c r="K46" s="271" t="s">
        <v>10</v>
      </c>
    </row>
    <row r="47" spans="1:11" ht="21" customHeight="1">
      <c r="A47" s="270"/>
      <c r="B47" s="277"/>
      <c r="C47" s="212">
        <v>2021</v>
      </c>
      <c r="D47" s="213">
        <f>I47</f>
        <v>50</v>
      </c>
      <c r="E47" s="213"/>
      <c r="F47" s="213"/>
      <c r="G47" s="213"/>
      <c r="H47" s="213"/>
      <c r="I47" s="213">
        <f>'нац политика'!I18</f>
        <v>50</v>
      </c>
      <c r="J47" s="113"/>
      <c r="K47" s="271"/>
    </row>
    <row r="48" spans="1:11" ht="18.75" customHeight="1">
      <c r="A48" s="270"/>
      <c r="B48" s="277"/>
      <c r="C48" s="212">
        <v>2022</v>
      </c>
      <c r="D48" s="213">
        <f>I48</f>
        <v>0</v>
      </c>
      <c r="E48" s="213"/>
      <c r="F48" s="213"/>
      <c r="G48" s="213"/>
      <c r="H48" s="213"/>
      <c r="I48" s="213">
        <f>'нац политика'!I19</f>
        <v>0</v>
      </c>
      <c r="J48" s="113"/>
      <c r="K48" s="271"/>
    </row>
    <row r="49" spans="1:11" ht="39.75" customHeight="1">
      <c r="A49" s="270"/>
      <c r="B49" s="278"/>
      <c r="C49" s="212">
        <v>2023</v>
      </c>
      <c r="D49" s="213">
        <f>I49</f>
        <v>0</v>
      </c>
      <c r="E49" s="213"/>
      <c r="F49" s="213"/>
      <c r="G49" s="213"/>
      <c r="H49" s="213"/>
      <c r="I49" s="213">
        <f>'нац политика'!I20</f>
        <v>0</v>
      </c>
      <c r="J49" s="113"/>
      <c r="K49" s="271"/>
    </row>
    <row r="50" spans="1:11" ht="16.5" customHeight="1">
      <c r="A50" s="270"/>
      <c r="B50" s="144" t="s">
        <v>15</v>
      </c>
      <c r="C50" s="145" t="s">
        <v>377</v>
      </c>
      <c r="D50" s="145">
        <f>I50</f>
        <v>56.14</v>
      </c>
      <c r="E50" s="145"/>
      <c r="F50" s="145"/>
      <c r="G50" s="145"/>
      <c r="H50" s="145"/>
      <c r="I50" s="145">
        <f>SUM(I46:I49)</f>
        <v>56.14</v>
      </c>
      <c r="J50" s="146"/>
      <c r="K50" s="271"/>
    </row>
    <row r="51" spans="2:10" ht="14.25">
      <c r="B51" s="76"/>
      <c r="C51" s="76"/>
      <c r="D51" s="76"/>
      <c r="E51" s="76"/>
      <c r="F51" s="76"/>
      <c r="G51" s="76"/>
      <c r="H51" s="76"/>
      <c r="I51" s="76"/>
      <c r="J51" s="76"/>
    </row>
    <row r="52" spans="2:10" ht="14.2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4.25">
      <c r="B53" s="76"/>
      <c r="C53" s="76"/>
      <c r="D53" s="76"/>
      <c r="E53" s="76"/>
      <c r="F53" s="76"/>
      <c r="G53" s="76"/>
      <c r="H53" s="76"/>
      <c r="I53" s="76"/>
      <c r="J53" s="76"/>
    </row>
    <row r="54" spans="2:10" ht="14.25">
      <c r="B54" s="76"/>
      <c r="C54" s="76"/>
      <c r="D54" s="76"/>
      <c r="E54" s="76"/>
      <c r="F54" s="76"/>
      <c r="G54" s="76"/>
      <c r="H54" s="76"/>
      <c r="I54" s="76"/>
      <c r="J54" s="76"/>
    </row>
    <row r="55" spans="2:10" ht="14.25">
      <c r="B55" s="76"/>
      <c r="C55" s="76"/>
      <c r="D55" s="76"/>
      <c r="E55" s="76"/>
      <c r="F55" s="76"/>
      <c r="G55" s="76"/>
      <c r="H55" s="76"/>
      <c r="I55" s="76"/>
      <c r="J55" s="76"/>
    </row>
    <row r="56" spans="2:10" ht="14.25">
      <c r="B56" s="76"/>
      <c r="C56" s="76"/>
      <c r="D56" s="76"/>
      <c r="E56" s="76"/>
      <c r="F56" s="76"/>
      <c r="G56" s="76"/>
      <c r="H56" s="76"/>
      <c r="I56" s="76"/>
      <c r="J56" s="76"/>
    </row>
    <row r="57" spans="2:10" ht="14.25">
      <c r="B57" s="76"/>
      <c r="C57" s="76"/>
      <c r="D57" s="76"/>
      <c r="E57" s="76"/>
      <c r="F57" s="76"/>
      <c r="G57" s="76"/>
      <c r="H57" s="76"/>
      <c r="I57" s="76"/>
      <c r="J57" s="76"/>
    </row>
    <row r="58" spans="2:10" ht="14.25">
      <c r="B58" s="76"/>
      <c r="C58" s="76"/>
      <c r="D58" s="76"/>
      <c r="E58" s="76"/>
      <c r="F58" s="76"/>
      <c r="G58" s="76"/>
      <c r="H58" s="76"/>
      <c r="I58" s="76"/>
      <c r="J58" s="76"/>
    </row>
    <row r="59" spans="2:10" ht="14.25">
      <c r="B59" s="76"/>
      <c r="C59" s="76"/>
      <c r="D59" s="76"/>
      <c r="E59" s="76"/>
      <c r="F59" s="76"/>
      <c r="G59" s="76"/>
      <c r="H59" s="76"/>
      <c r="I59" s="76"/>
      <c r="J59" s="76"/>
    </row>
    <row r="60" spans="2:10" ht="14.25">
      <c r="B60" s="76"/>
      <c r="C60" s="76"/>
      <c r="D60" s="76"/>
      <c r="E60" s="76"/>
      <c r="F60" s="76"/>
      <c r="G60" s="76"/>
      <c r="H60" s="76"/>
      <c r="I60" s="76"/>
      <c r="J60" s="76"/>
    </row>
    <row r="61" spans="2:10" ht="14.25">
      <c r="B61" s="76"/>
      <c r="C61" s="76"/>
      <c r="D61" s="76"/>
      <c r="E61" s="76"/>
      <c r="F61" s="76"/>
      <c r="G61" s="76"/>
      <c r="H61" s="76"/>
      <c r="I61" s="76"/>
      <c r="J61" s="76"/>
    </row>
    <row r="62" spans="2:10" ht="14.25">
      <c r="B62" s="76"/>
      <c r="C62" s="76"/>
      <c r="D62" s="76"/>
      <c r="E62" s="76"/>
      <c r="F62" s="76"/>
      <c r="G62" s="76"/>
      <c r="H62" s="76"/>
      <c r="I62" s="76"/>
      <c r="J62" s="76"/>
    </row>
    <row r="63" spans="2:10" ht="14.25">
      <c r="B63" s="76"/>
      <c r="C63" s="76"/>
      <c r="D63" s="76"/>
      <c r="E63" s="76"/>
      <c r="F63" s="76"/>
      <c r="G63" s="76"/>
      <c r="H63" s="76"/>
      <c r="I63" s="76"/>
      <c r="J63" s="76"/>
    </row>
    <row r="64" spans="2:10" ht="14.25">
      <c r="B64" s="76"/>
      <c r="C64" s="76"/>
      <c r="D64" s="76"/>
      <c r="E64" s="76"/>
      <c r="F64" s="76"/>
      <c r="G64" s="76"/>
      <c r="H64" s="76"/>
      <c r="I64" s="76"/>
      <c r="J64" s="76"/>
    </row>
    <row r="65" spans="2:10" ht="14.25">
      <c r="B65" s="76"/>
      <c r="C65" s="76"/>
      <c r="D65" s="76"/>
      <c r="E65" s="76"/>
      <c r="F65" s="76"/>
      <c r="G65" s="76"/>
      <c r="H65" s="76"/>
      <c r="I65" s="76"/>
      <c r="J65" s="76"/>
    </row>
    <row r="66" spans="2:10" ht="14.25">
      <c r="B66" s="76"/>
      <c r="C66" s="76"/>
      <c r="D66" s="76"/>
      <c r="E66" s="76"/>
      <c r="F66" s="76"/>
      <c r="G66" s="76"/>
      <c r="H66" s="76"/>
      <c r="I66" s="76"/>
      <c r="J66" s="76"/>
    </row>
    <row r="67" spans="2:10" ht="14.25">
      <c r="B67" s="76"/>
      <c r="C67" s="76"/>
      <c r="D67" s="76"/>
      <c r="E67" s="76"/>
      <c r="F67" s="76"/>
      <c r="G67" s="76"/>
      <c r="H67" s="76"/>
      <c r="I67" s="76"/>
      <c r="J67" s="76"/>
    </row>
    <row r="68" spans="2:10" ht="14.25">
      <c r="B68" s="76"/>
      <c r="C68" s="76"/>
      <c r="D68" s="76"/>
      <c r="E68" s="76"/>
      <c r="F68" s="76"/>
      <c r="G68" s="76"/>
      <c r="H68" s="76"/>
      <c r="I68" s="76"/>
      <c r="J68" s="76"/>
    </row>
    <row r="69" spans="2:10" ht="14.25">
      <c r="B69" s="76"/>
      <c r="C69" s="76"/>
      <c r="D69" s="76"/>
      <c r="E69" s="76"/>
      <c r="F69" s="76"/>
      <c r="G69" s="76"/>
      <c r="H69" s="76"/>
      <c r="I69" s="76"/>
      <c r="J69" s="76"/>
    </row>
    <row r="70" spans="2:10" ht="14.25">
      <c r="B70" s="76"/>
      <c r="C70" s="76"/>
      <c r="D70" s="76"/>
      <c r="E70" s="76"/>
      <c r="F70" s="76"/>
      <c r="G70" s="76"/>
      <c r="H70" s="76"/>
      <c r="I70" s="76"/>
      <c r="J70" s="76"/>
    </row>
    <row r="71" spans="2:10" ht="14.25">
      <c r="B71" s="76"/>
      <c r="C71" s="76"/>
      <c r="D71" s="76"/>
      <c r="E71" s="76"/>
      <c r="F71" s="76"/>
      <c r="G71" s="76"/>
      <c r="H71" s="76"/>
      <c r="I71" s="76"/>
      <c r="J71" s="76"/>
    </row>
    <row r="72" spans="2:10" ht="14.25">
      <c r="B72" s="76"/>
      <c r="C72" s="76"/>
      <c r="D72" s="76"/>
      <c r="E72" s="76"/>
      <c r="F72" s="76"/>
      <c r="G72" s="76"/>
      <c r="H72" s="76"/>
      <c r="I72" s="76"/>
      <c r="J72" s="76"/>
    </row>
  </sheetData>
  <sheetProtection/>
  <mergeCells count="32">
    <mergeCell ref="K1:L1"/>
    <mergeCell ref="K8:K10"/>
    <mergeCell ref="E8:I8"/>
    <mergeCell ref="E9:E12"/>
    <mergeCell ref="A2:L2"/>
    <mergeCell ref="J3:L3"/>
    <mergeCell ref="F9:I9"/>
    <mergeCell ref="J8:J12"/>
    <mergeCell ref="K5:L5"/>
    <mergeCell ref="I10:I12"/>
    <mergeCell ref="J4:L4"/>
    <mergeCell ref="A46:A50"/>
    <mergeCell ref="K46:K50"/>
    <mergeCell ref="K14:K21"/>
    <mergeCell ref="K22:K29"/>
    <mergeCell ref="K38:K45"/>
    <mergeCell ref="B14:B20"/>
    <mergeCell ref="B22:B28"/>
    <mergeCell ref="B46:B49"/>
    <mergeCell ref="K30:K37"/>
    <mergeCell ref="A30:A37"/>
    <mergeCell ref="A38:A45"/>
    <mergeCell ref="A14:A21"/>
    <mergeCell ref="A22:A29"/>
    <mergeCell ref="A8:A10"/>
    <mergeCell ref="C8:C10"/>
    <mergeCell ref="F11:F12"/>
    <mergeCell ref="B8:B10"/>
    <mergeCell ref="B38:B44"/>
    <mergeCell ref="B30:B36"/>
    <mergeCell ref="F10:H10"/>
    <mergeCell ref="G11:H11"/>
  </mergeCells>
  <printOptions/>
  <pageMargins left="0.7086614173228347" right="0.7086614173228347" top="0.35433070866141736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2"/>
  <sheetViews>
    <sheetView zoomScaleSheetLayoutView="100" zoomScalePageLayoutView="0" workbookViewId="0" topLeftCell="A734">
      <selection activeCell="H753" sqref="H753"/>
    </sheetView>
  </sheetViews>
  <sheetFormatPr defaultColWidth="9.140625" defaultRowHeight="15"/>
  <cols>
    <col min="1" max="1" width="12.421875" style="0" bestFit="1" customWidth="1"/>
    <col min="2" max="2" width="35.7109375" style="0" customWidth="1"/>
    <col min="3" max="3" width="11.421875" style="0" bestFit="1" customWidth="1"/>
    <col min="4" max="4" width="18.421875" style="4" customWidth="1"/>
    <col min="5" max="5" width="11.8515625" style="0" customWidth="1"/>
    <col min="6" max="6" width="18.28125" style="0" customWidth="1"/>
    <col min="7" max="7" width="11.57421875" style="0" customWidth="1"/>
    <col min="8" max="8" width="17.421875" style="11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12" ht="14.25">
      <c r="A1" s="76"/>
      <c r="B1" s="76"/>
      <c r="C1" s="76"/>
      <c r="D1" s="155"/>
      <c r="E1" s="76"/>
      <c r="F1" s="76"/>
      <c r="G1" s="76"/>
      <c r="H1" s="156"/>
      <c r="I1" s="76"/>
      <c r="J1" s="76"/>
      <c r="K1" s="158"/>
      <c r="L1" s="76"/>
    </row>
    <row r="2" spans="1:23" ht="14.25">
      <c r="A2" s="76"/>
      <c r="B2" s="76"/>
      <c r="C2" s="77"/>
      <c r="D2" s="77"/>
      <c r="E2" s="77"/>
      <c r="F2" s="77"/>
      <c r="G2" s="77"/>
      <c r="H2" s="77"/>
      <c r="I2" s="77"/>
      <c r="J2" s="77"/>
      <c r="K2" s="391" t="s">
        <v>300</v>
      </c>
      <c r="L2" s="391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76"/>
      <c r="B3" s="76"/>
      <c r="C3" s="77"/>
      <c r="D3" s="77"/>
      <c r="E3" s="77"/>
      <c r="F3" s="77"/>
      <c r="G3" s="77"/>
      <c r="H3" s="77"/>
      <c r="I3" s="77"/>
      <c r="J3" s="77"/>
      <c r="K3" s="391" t="s">
        <v>303</v>
      </c>
      <c r="L3" s="391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4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391" t="s">
        <v>302</v>
      </c>
      <c r="L4" s="391"/>
      <c r="M4" s="8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2" ht="14.25">
      <c r="A5" s="78"/>
      <c r="B5" s="78"/>
      <c r="C5" s="78"/>
      <c r="D5" s="79"/>
      <c r="E5" s="78"/>
      <c r="F5" s="78"/>
      <c r="G5" s="78"/>
      <c r="H5" s="80"/>
      <c r="I5" s="78"/>
      <c r="J5" s="78"/>
      <c r="K5" s="77"/>
      <c r="L5" s="77"/>
    </row>
    <row r="6" spans="1:12" ht="14.25">
      <c r="A6" s="78"/>
      <c r="B6" s="78"/>
      <c r="C6" s="78"/>
      <c r="D6" s="79"/>
      <c r="E6" s="78"/>
      <c r="F6" s="78"/>
      <c r="G6" s="78"/>
      <c r="H6" s="80"/>
      <c r="I6" s="78"/>
      <c r="J6" s="78"/>
      <c r="K6" s="77"/>
      <c r="L6" s="77"/>
    </row>
    <row r="7" spans="1:12" ht="19.5" customHeight="1">
      <c r="A7" s="348" t="s">
        <v>165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</row>
    <row r="8" spans="1:12" ht="19.5" customHeight="1">
      <c r="A8" s="349" t="s">
        <v>18</v>
      </c>
      <c r="B8" s="349" t="s">
        <v>19</v>
      </c>
      <c r="C8" s="349" t="s">
        <v>2</v>
      </c>
      <c r="D8" s="350" t="s">
        <v>20</v>
      </c>
      <c r="E8" s="349" t="s">
        <v>21</v>
      </c>
      <c r="F8" s="349"/>
      <c r="G8" s="349"/>
      <c r="H8" s="353"/>
      <c r="I8" s="353"/>
      <c r="J8" s="351" t="s">
        <v>23</v>
      </c>
      <c r="K8" s="351" t="s">
        <v>80</v>
      </c>
      <c r="L8" s="351" t="s">
        <v>78</v>
      </c>
    </row>
    <row r="9" spans="1:12" ht="19.5" customHeight="1">
      <c r="A9" s="349"/>
      <c r="B9" s="349"/>
      <c r="C9" s="349"/>
      <c r="D9" s="350"/>
      <c r="E9" s="186"/>
      <c r="F9" s="349" t="s">
        <v>6</v>
      </c>
      <c r="G9" s="349"/>
      <c r="H9" s="349"/>
      <c r="I9" s="349"/>
      <c r="J9" s="351"/>
      <c r="K9" s="351"/>
      <c r="L9" s="351"/>
    </row>
    <row r="10" spans="1:12" ht="19.5" customHeight="1">
      <c r="A10" s="349"/>
      <c r="B10" s="349"/>
      <c r="C10" s="349"/>
      <c r="D10" s="350"/>
      <c r="E10" s="349" t="s">
        <v>22</v>
      </c>
      <c r="F10" s="349" t="s">
        <v>24</v>
      </c>
      <c r="G10" s="349"/>
      <c r="H10" s="349"/>
      <c r="I10" s="349" t="s">
        <v>25</v>
      </c>
      <c r="J10" s="352"/>
      <c r="K10" s="351"/>
      <c r="L10" s="351"/>
    </row>
    <row r="11" spans="1:12" ht="19.5" customHeight="1">
      <c r="A11" s="349"/>
      <c r="B11" s="349"/>
      <c r="C11" s="349"/>
      <c r="D11" s="350"/>
      <c r="E11" s="349"/>
      <c r="F11" s="349" t="s">
        <v>199</v>
      </c>
      <c r="G11" s="349" t="s">
        <v>200</v>
      </c>
      <c r="H11" s="349"/>
      <c r="I11" s="349"/>
      <c r="J11" s="352"/>
      <c r="K11" s="351"/>
      <c r="L11" s="351"/>
    </row>
    <row r="12" spans="1:12" ht="19.5" customHeight="1">
      <c r="A12" s="349"/>
      <c r="B12" s="349"/>
      <c r="C12" s="349"/>
      <c r="D12" s="350"/>
      <c r="E12" s="349"/>
      <c r="F12" s="349"/>
      <c r="G12" s="186" t="s">
        <v>201</v>
      </c>
      <c r="H12" s="81" t="s">
        <v>202</v>
      </c>
      <c r="I12" s="349"/>
      <c r="J12" s="352"/>
      <c r="K12" s="351"/>
      <c r="L12" s="351"/>
    </row>
    <row r="13" spans="1:12" ht="19.5" customHeight="1">
      <c r="A13" s="186">
        <v>1</v>
      </c>
      <c r="B13" s="186">
        <v>2</v>
      </c>
      <c r="C13" s="186">
        <v>3</v>
      </c>
      <c r="D13" s="82">
        <v>4</v>
      </c>
      <c r="E13" s="186">
        <v>5</v>
      </c>
      <c r="F13" s="186">
        <v>6</v>
      </c>
      <c r="G13" s="186">
        <v>7</v>
      </c>
      <c r="H13" s="64">
        <v>8</v>
      </c>
      <c r="I13" s="186">
        <v>9</v>
      </c>
      <c r="J13" s="186">
        <v>10</v>
      </c>
      <c r="K13" s="186">
        <v>11</v>
      </c>
      <c r="L13" s="186">
        <v>12</v>
      </c>
    </row>
    <row r="14" spans="1:12" ht="19.5" customHeight="1">
      <c r="A14" s="367" t="s">
        <v>93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</row>
    <row r="15" spans="1:12" ht="19.5" customHeight="1">
      <c r="A15" s="21" t="s">
        <v>148</v>
      </c>
      <c r="B15" s="356" t="s">
        <v>142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</row>
    <row r="16" spans="1:12" ht="19.5" customHeight="1">
      <c r="A16" s="21" t="s">
        <v>147</v>
      </c>
      <c r="B16" s="356" t="s">
        <v>143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</row>
    <row r="17" spans="1:12" ht="19.5" customHeight="1">
      <c r="A17" s="304" t="s">
        <v>12</v>
      </c>
      <c r="B17" s="304" t="s">
        <v>26</v>
      </c>
      <c r="C17" s="189">
        <v>2017</v>
      </c>
      <c r="D17" s="33">
        <f>I17</f>
        <v>50</v>
      </c>
      <c r="E17" s="33">
        <v>0</v>
      </c>
      <c r="F17" s="33"/>
      <c r="G17" s="33"/>
      <c r="H17" s="33">
        <v>0</v>
      </c>
      <c r="I17" s="33">
        <v>50</v>
      </c>
      <c r="J17" s="34"/>
      <c r="K17" s="304" t="s">
        <v>27</v>
      </c>
      <c r="L17" s="304" t="s">
        <v>28</v>
      </c>
    </row>
    <row r="18" spans="1:12" ht="19.5" customHeight="1">
      <c r="A18" s="305"/>
      <c r="B18" s="305"/>
      <c r="C18" s="188">
        <v>2018</v>
      </c>
      <c r="D18" s="102">
        <f>H18+I18</f>
        <v>50</v>
      </c>
      <c r="E18" s="102">
        <v>0</v>
      </c>
      <c r="F18" s="102"/>
      <c r="G18" s="102"/>
      <c r="H18" s="102">
        <v>0</v>
      </c>
      <c r="I18" s="102">
        <v>50</v>
      </c>
      <c r="J18" s="34"/>
      <c r="K18" s="305"/>
      <c r="L18" s="305"/>
    </row>
    <row r="19" spans="1:12" ht="19.5" customHeight="1">
      <c r="A19" s="305"/>
      <c r="B19" s="305"/>
      <c r="C19" s="95">
        <v>2019</v>
      </c>
      <c r="D19" s="96">
        <f>H19+I19</f>
        <v>52.52636</v>
      </c>
      <c r="E19" s="96">
        <v>0</v>
      </c>
      <c r="F19" s="96"/>
      <c r="G19" s="96"/>
      <c r="H19" s="96">
        <v>0</v>
      </c>
      <c r="I19" s="96">
        <f>50+2.52636</f>
        <v>52.52636</v>
      </c>
      <c r="J19" s="83"/>
      <c r="K19" s="305"/>
      <c r="L19" s="305"/>
    </row>
    <row r="20" spans="1:12" ht="19.5" customHeight="1">
      <c r="A20" s="305"/>
      <c r="B20" s="305"/>
      <c r="C20" s="188">
        <v>2020</v>
      </c>
      <c r="D20" s="102">
        <f>H20+I20</f>
        <v>0</v>
      </c>
      <c r="E20" s="102">
        <v>0</v>
      </c>
      <c r="F20" s="102"/>
      <c r="G20" s="102"/>
      <c r="H20" s="102">
        <v>0</v>
      </c>
      <c r="I20" s="102">
        <v>0</v>
      </c>
      <c r="J20" s="34"/>
      <c r="K20" s="305"/>
      <c r="L20" s="305"/>
    </row>
    <row r="21" spans="1:12" ht="19.5" customHeight="1">
      <c r="A21" s="305"/>
      <c r="B21" s="305"/>
      <c r="C21" s="188">
        <v>2021</v>
      </c>
      <c r="D21" s="102">
        <f>E21+F21+I21+J21</f>
        <v>0</v>
      </c>
      <c r="E21" s="102"/>
      <c r="F21" s="102"/>
      <c r="G21" s="102"/>
      <c r="H21" s="102">
        <v>0</v>
      </c>
      <c r="I21" s="102">
        <v>0</v>
      </c>
      <c r="J21" s="34"/>
      <c r="K21" s="305"/>
      <c r="L21" s="305"/>
    </row>
    <row r="22" spans="1:12" ht="19.5" customHeight="1">
      <c r="A22" s="306"/>
      <c r="B22" s="305"/>
      <c r="C22" s="188">
        <v>2022</v>
      </c>
      <c r="D22" s="102">
        <f>I22</f>
        <v>0</v>
      </c>
      <c r="E22" s="102"/>
      <c r="F22" s="102"/>
      <c r="G22" s="102"/>
      <c r="H22" s="102"/>
      <c r="I22" s="102">
        <v>0</v>
      </c>
      <c r="J22" s="34"/>
      <c r="K22" s="305"/>
      <c r="L22" s="305"/>
    </row>
    <row r="23" spans="1:12" ht="19.5" customHeight="1">
      <c r="A23" s="177"/>
      <c r="B23" s="306"/>
      <c r="C23" s="188">
        <v>2023</v>
      </c>
      <c r="D23" s="102">
        <f>I23</f>
        <v>0</v>
      </c>
      <c r="E23" s="102"/>
      <c r="F23" s="102"/>
      <c r="G23" s="102"/>
      <c r="H23" s="102"/>
      <c r="I23" s="102">
        <v>0</v>
      </c>
      <c r="J23" s="34"/>
      <c r="K23" s="306"/>
      <c r="L23" s="305"/>
    </row>
    <row r="24" spans="1:12" ht="19.5" customHeight="1">
      <c r="A24" s="304" t="s">
        <v>14</v>
      </c>
      <c r="B24" s="304" t="s">
        <v>385</v>
      </c>
      <c r="C24" s="188">
        <v>2017</v>
      </c>
      <c r="D24" s="102">
        <f>I24</f>
        <v>44.99</v>
      </c>
      <c r="E24" s="102">
        <v>0</v>
      </c>
      <c r="F24" s="102"/>
      <c r="G24" s="102"/>
      <c r="H24" s="102">
        <v>0</v>
      </c>
      <c r="I24" s="102">
        <v>44.99</v>
      </c>
      <c r="J24" s="34"/>
      <c r="K24" s="304" t="s">
        <v>162</v>
      </c>
      <c r="L24" s="305"/>
    </row>
    <row r="25" spans="1:12" ht="19.5" customHeight="1">
      <c r="A25" s="305"/>
      <c r="B25" s="305"/>
      <c r="C25" s="61">
        <v>2018</v>
      </c>
      <c r="D25" s="102">
        <f>SUM(E25:I25)</f>
        <v>20</v>
      </c>
      <c r="E25" s="102">
        <v>0</v>
      </c>
      <c r="F25" s="102"/>
      <c r="G25" s="102"/>
      <c r="H25" s="102">
        <v>0</v>
      </c>
      <c r="I25" s="102">
        <v>20</v>
      </c>
      <c r="J25" s="191"/>
      <c r="K25" s="305"/>
      <c r="L25" s="305"/>
    </row>
    <row r="26" spans="1:12" ht="19.5" customHeight="1">
      <c r="A26" s="305"/>
      <c r="B26" s="305"/>
      <c r="C26" s="190">
        <v>2019</v>
      </c>
      <c r="D26" s="173">
        <f>SUM(E26:I26)</f>
        <v>20</v>
      </c>
      <c r="E26" s="173">
        <v>0</v>
      </c>
      <c r="F26" s="173"/>
      <c r="G26" s="173"/>
      <c r="H26" s="173">
        <v>0</v>
      </c>
      <c r="I26" s="173">
        <v>20</v>
      </c>
      <c r="J26" s="84"/>
      <c r="K26" s="305"/>
      <c r="L26" s="305"/>
    </row>
    <row r="27" spans="1:12" ht="19.5" customHeight="1">
      <c r="A27" s="305"/>
      <c r="B27" s="305"/>
      <c r="C27" s="354">
        <v>2020</v>
      </c>
      <c r="D27" s="357">
        <f>SUM(E27:I28)</f>
        <v>16.693</v>
      </c>
      <c r="E27" s="357">
        <v>0</v>
      </c>
      <c r="F27" s="357"/>
      <c r="G27" s="357"/>
      <c r="H27" s="357">
        <v>0</v>
      </c>
      <c r="I27" s="357">
        <f>20-3.307</f>
        <v>16.693</v>
      </c>
      <c r="J27" s="366"/>
      <c r="K27" s="305"/>
      <c r="L27" s="305"/>
    </row>
    <row r="28" spans="1:12" ht="19.5" customHeight="1">
      <c r="A28" s="305"/>
      <c r="B28" s="305"/>
      <c r="C28" s="354"/>
      <c r="D28" s="357"/>
      <c r="E28" s="357"/>
      <c r="F28" s="357"/>
      <c r="G28" s="357"/>
      <c r="H28" s="357"/>
      <c r="I28" s="357"/>
      <c r="J28" s="366"/>
      <c r="K28" s="305"/>
      <c r="L28" s="305"/>
    </row>
    <row r="29" spans="1:12" ht="19.5" customHeight="1">
      <c r="A29" s="305"/>
      <c r="B29" s="305"/>
      <c r="C29" s="188">
        <v>2021</v>
      </c>
      <c r="D29" s="102">
        <f>E29+F29+I29+J29</f>
        <v>10</v>
      </c>
      <c r="E29" s="102"/>
      <c r="F29" s="102"/>
      <c r="G29" s="102"/>
      <c r="H29" s="102">
        <v>0</v>
      </c>
      <c r="I29" s="102">
        <v>10</v>
      </c>
      <c r="J29" s="191"/>
      <c r="K29" s="305"/>
      <c r="L29" s="305"/>
    </row>
    <row r="30" spans="1:12" ht="19.5" customHeight="1">
      <c r="A30" s="305"/>
      <c r="B30" s="305"/>
      <c r="C30" s="188">
        <v>2022</v>
      </c>
      <c r="D30" s="102">
        <f>I30</f>
        <v>0</v>
      </c>
      <c r="E30" s="102"/>
      <c r="F30" s="102"/>
      <c r="G30" s="102"/>
      <c r="H30" s="102"/>
      <c r="I30" s="102"/>
      <c r="J30" s="191"/>
      <c r="K30" s="305"/>
      <c r="L30" s="305"/>
    </row>
    <row r="31" spans="1:12" ht="19.5" customHeight="1">
      <c r="A31" s="306"/>
      <c r="B31" s="306"/>
      <c r="C31" s="188">
        <v>2023</v>
      </c>
      <c r="D31" s="102">
        <f>I31</f>
        <v>0</v>
      </c>
      <c r="E31" s="102"/>
      <c r="F31" s="102"/>
      <c r="G31" s="102"/>
      <c r="H31" s="102"/>
      <c r="I31" s="102"/>
      <c r="J31" s="191"/>
      <c r="K31" s="306"/>
      <c r="L31" s="306"/>
    </row>
    <row r="32" spans="1:12" ht="19.5" customHeight="1">
      <c r="A32" s="304" t="s">
        <v>16</v>
      </c>
      <c r="B32" s="304" t="s">
        <v>29</v>
      </c>
      <c r="C32" s="188">
        <v>2017</v>
      </c>
      <c r="D32" s="102">
        <f>I32</f>
        <v>7</v>
      </c>
      <c r="E32" s="102">
        <v>0</v>
      </c>
      <c r="F32" s="102"/>
      <c r="G32" s="102"/>
      <c r="H32" s="102">
        <v>0</v>
      </c>
      <c r="I32" s="102">
        <v>7</v>
      </c>
      <c r="J32" s="191"/>
      <c r="K32" s="304" t="s">
        <v>30</v>
      </c>
      <c r="L32" s="304" t="s">
        <v>31</v>
      </c>
    </row>
    <row r="33" spans="1:12" ht="19.5" customHeight="1">
      <c r="A33" s="305"/>
      <c r="B33" s="305"/>
      <c r="C33" s="188">
        <v>2018</v>
      </c>
      <c r="D33" s="102">
        <f>E33+H33+I33</f>
        <v>0</v>
      </c>
      <c r="E33" s="102">
        <v>0</v>
      </c>
      <c r="F33" s="102"/>
      <c r="G33" s="102"/>
      <c r="H33" s="102">
        <v>0</v>
      </c>
      <c r="I33" s="102">
        <v>0</v>
      </c>
      <c r="J33" s="36"/>
      <c r="K33" s="305"/>
      <c r="L33" s="305"/>
    </row>
    <row r="34" spans="1:12" ht="19.5" customHeight="1">
      <c r="A34" s="305"/>
      <c r="B34" s="305"/>
      <c r="C34" s="188">
        <v>2019</v>
      </c>
      <c r="D34" s="102">
        <f>SUM(E34:I34)</f>
        <v>0</v>
      </c>
      <c r="E34" s="102">
        <v>0</v>
      </c>
      <c r="F34" s="102"/>
      <c r="G34" s="102"/>
      <c r="H34" s="102">
        <v>0</v>
      </c>
      <c r="I34" s="102">
        <v>0</v>
      </c>
      <c r="J34" s="36"/>
      <c r="K34" s="305"/>
      <c r="L34" s="305"/>
    </row>
    <row r="35" spans="1:12" ht="19.5" customHeight="1">
      <c r="A35" s="305"/>
      <c r="B35" s="305"/>
      <c r="C35" s="188">
        <v>2020</v>
      </c>
      <c r="D35" s="102">
        <f>I35</f>
        <v>0</v>
      </c>
      <c r="E35" s="102">
        <v>0</v>
      </c>
      <c r="F35" s="102"/>
      <c r="G35" s="102"/>
      <c r="H35" s="102">
        <v>0</v>
      </c>
      <c r="I35" s="102">
        <v>0</v>
      </c>
      <c r="J35" s="36"/>
      <c r="K35" s="305"/>
      <c r="L35" s="305"/>
    </row>
    <row r="36" spans="1:12" ht="19.5" customHeight="1">
      <c r="A36" s="305"/>
      <c r="B36" s="305"/>
      <c r="C36" s="188">
        <v>2021</v>
      </c>
      <c r="D36" s="102">
        <f>E36+F36+I36+J36</f>
        <v>5</v>
      </c>
      <c r="E36" s="102">
        <v>0</v>
      </c>
      <c r="F36" s="102"/>
      <c r="G36" s="102"/>
      <c r="H36" s="102">
        <v>0</v>
      </c>
      <c r="I36" s="102">
        <v>5</v>
      </c>
      <c r="J36" s="36"/>
      <c r="K36" s="305"/>
      <c r="L36" s="305"/>
    </row>
    <row r="37" spans="1:12" ht="19.5" customHeight="1">
      <c r="A37" s="305"/>
      <c r="B37" s="305"/>
      <c r="C37" s="188">
        <v>2022</v>
      </c>
      <c r="D37" s="102">
        <f>E37+F37+I37+J37</f>
        <v>0</v>
      </c>
      <c r="E37" s="102">
        <v>0</v>
      </c>
      <c r="F37" s="102"/>
      <c r="G37" s="102"/>
      <c r="H37" s="102">
        <v>0</v>
      </c>
      <c r="I37" s="102"/>
      <c r="J37" s="36"/>
      <c r="K37" s="305"/>
      <c r="L37" s="305"/>
    </row>
    <row r="38" spans="1:12" ht="19.5" customHeight="1">
      <c r="A38" s="306"/>
      <c r="B38" s="306"/>
      <c r="C38" s="188">
        <v>2023</v>
      </c>
      <c r="D38" s="102">
        <f>E38+F38+I38+J38</f>
        <v>0</v>
      </c>
      <c r="E38" s="102">
        <v>0</v>
      </c>
      <c r="F38" s="102"/>
      <c r="G38" s="102"/>
      <c r="H38" s="102">
        <v>0</v>
      </c>
      <c r="I38" s="102"/>
      <c r="J38" s="36"/>
      <c r="K38" s="306"/>
      <c r="L38" s="306"/>
    </row>
    <row r="39" spans="1:12" ht="19.5" customHeight="1">
      <c r="A39" s="304" t="s">
        <v>99</v>
      </c>
      <c r="B39" s="304" t="s">
        <v>60</v>
      </c>
      <c r="C39" s="188">
        <v>2017</v>
      </c>
      <c r="D39" s="102">
        <f>I39</f>
        <v>8</v>
      </c>
      <c r="E39" s="102">
        <v>0</v>
      </c>
      <c r="F39" s="102"/>
      <c r="G39" s="102"/>
      <c r="H39" s="102">
        <v>0</v>
      </c>
      <c r="I39" s="102">
        <v>8</v>
      </c>
      <c r="J39" s="36"/>
      <c r="K39" s="304" t="s">
        <v>32</v>
      </c>
      <c r="L39" s="304" t="s">
        <v>33</v>
      </c>
    </row>
    <row r="40" spans="1:12" ht="19.5" customHeight="1">
      <c r="A40" s="305"/>
      <c r="B40" s="305"/>
      <c r="C40" s="188">
        <v>2018</v>
      </c>
      <c r="D40" s="102">
        <f>E40+H40+I40</f>
        <v>0</v>
      </c>
      <c r="E40" s="102">
        <v>0</v>
      </c>
      <c r="F40" s="102"/>
      <c r="G40" s="102"/>
      <c r="H40" s="102">
        <v>0</v>
      </c>
      <c r="I40" s="102">
        <v>0</v>
      </c>
      <c r="J40" s="191"/>
      <c r="K40" s="305"/>
      <c r="L40" s="305"/>
    </row>
    <row r="41" spans="1:12" ht="19.5" customHeight="1">
      <c r="A41" s="305"/>
      <c r="B41" s="305"/>
      <c r="C41" s="188">
        <v>2019</v>
      </c>
      <c r="D41" s="102">
        <f>SUM(E41:I41)</f>
        <v>2.8</v>
      </c>
      <c r="E41" s="102">
        <v>0</v>
      </c>
      <c r="F41" s="102"/>
      <c r="G41" s="102"/>
      <c r="H41" s="102">
        <v>0</v>
      </c>
      <c r="I41" s="102">
        <v>2.8</v>
      </c>
      <c r="J41" s="191"/>
      <c r="K41" s="305"/>
      <c r="L41" s="305"/>
    </row>
    <row r="42" spans="1:12" ht="19.5" customHeight="1">
      <c r="A42" s="305"/>
      <c r="B42" s="305"/>
      <c r="C42" s="188">
        <v>2020</v>
      </c>
      <c r="D42" s="102">
        <f>I42</f>
        <v>0</v>
      </c>
      <c r="E42" s="102">
        <v>0</v>
      </c>
      <c r="F42" s="102"/>
      <c r="G42" s="102"/>
      <c r="H42" s="102">
        <v>0</v>
      </c>
      <c r="I42" s="102">
        <v>0</v>
      </c>
      <c r="J42" s="191"/>
      <c r="K42" s="305"/>
      <c r="L42" s="305"/>
    </row>
    <row r="43" spans="1:12" ht="19.5" customHeight="1">
      <c r="A43" s="305"/>
      <c r="B43" s="305"/>
      <c r="C43" s="188">
        <v>2021</v>
      </c>
      <c r="D43" s="102">
        <f>E43+F43+I43+J43</f>
        <v>5</v>
      </c>
      <c r="E43" s="102">
        <v>0</v>
      </c>
      <c r="F43" s="102"/>
      <c r="G43" s="102"/>
      <c r="H43" s="102">
        <v>0</v>
      </c>
      <c r="I43" s="102">
        <v>5</v>
      </c>
      <c r="J43" s="191"/>
      <c r="K43" s="305"/>
      <c r="L43" s="305"/>
    </row>
    <row r="44" spans="1:12" ht="19.5" customHeight="1">
      <c r="A44" s="305"/>
      <c r="B44" s="305"/>
      <c r="C44" s="188">
        <v>2022</v>
      </c>
      <c r="D44" s="102">
        <f>E44+F44+I44+J44</f>
        <v>0</v>
      </c>
      <c r="E44" s="102">
        <v>0</v>
      </c>
      <c r="F44" s="102"/>
      <c r="G44" s="102"/>
      <c r="H44" s="102">
        <v>0</v>
      </c>
      <c r="I44" s="102">
        <v>0</v>
      </c>
      <c r="J44" s="191"/>
      <c r="K44" s="305"/>
      <c r="L44" s="305"/>
    </row>
    <row r="45" spans="1:12" ht="19.5" customHeight="1">
      <c r="A45" s="306"/>
      <c r="B45" s="306"/>
      <c r="C45" s="188">
        <v>2023</v>
      </c>
      <c r="D45" s="102">
        <f>E45+F45+I45+J45</f>
        <v>0</v>
      </c>
      <c r="E45" s="102">
        <v>0</v>
      </c>
      <c r="F45" s="102"/>
      <c r="G45" s="102"/>
      <c r="H45" s="102">
        <v>0</v>
      </c>
      <c r="I45" s="102">
        <v>0</v>
      </c>
      <c r="J45" s="191"/>
      <c r="K45" s="306"/>
      <c r="L45" s="306"/>
    </row>
    <row r="46" spans="1:12" ht="19.5" customHeight="1">
      <c r="A46" s="304" t="s">
        <v>100</v>
      </c>
      <c r="B46" s="304" t="s">
        <v>34</v>
      </c>
      <c r="C46" s="358">
        <v>2017</v>
      </c>
      <c r="D46" s="102">
        <f>I46</f>
        <v>115.476</v>
      </c>
      <c r="E46" s="102">
        <v>0</v>
      </c>
      <c r="F46" s="102"/>
      <c r="G46" s="102"/>
      <c r="H46" s="102">
        <v>0</v>
      </c>
      <c r="I46" s="102">
        <v>115.476</v>
      </c>
      <c r="J46" s="191"/>
      <c r="K46" s="102" t="s">
        <v>53</v>
      </c>
      <c r="L46" s="304" t="s">
        <v>35</v>
      </c>
    </row>
    <row r="47" spans="1:12" ht="19.5" customHeight="1">
      <c r="A47" s="305"/>
      <c r="B47" s="305"/>
      <c r="C47" s="358"/>
      <c r="D47" s="102">
        <f>I47</f>
        <v>165.0305</v>
      </c>
      <c r="E47" s="102">
        <v>0</v>
      </c>
      <c r="F47" s="102"/>
      <c r="G47" s="102"/>
      <c r="H47" s="102">
        <v>0</v>
      </c>
      <c r="I47" s="102">
        <v>165.0305</v>
      </c>
      <c r="J47" s="191"/>
      <c r="K47" s="102" t="s">
        <v>54</v>
      </c>
      <c r="L47" s="305"/>
    </row>
    <row r="48" spans="1:12" ht="19.5" customHeight="1">
      <c r="A48" s="305"/>
      <c r="B48" s="305"/>
      <c r="C48" s="358"/>
      <c r="D48" s="102">
        <f aca="true" t="shared" si="0" ref="D48:D60">I48</f>
        <v>230.5</v>
      </c>
      <c r="E48" s="102">
        <v>0</v>
      </c>
      <c r="F48" s="102"/>
      <c r="G48" s="102"/>
      <c r="H48" s="102">
        <v>0</v>
      </c>
      <c r="I48" s="102">
        <v>230.5</v>
      </c>
      <c r="J48" s="191"/>
      <c r="K48" s="102" t="s">
        <v>32</v>
      </c>
      <c r="L48" s="305"/>
    </row>
    <row r="49" spans="1:12" ht="19.5" customHeight="1">
      <c r="A49" s="305"/>
      <c r="B49" s="305"/>
      <c r="C49" s="188">
        <v>2018</v>
      </c>
      <c r="D49" s="102">
        <f t="shared" si="0"/>
        <v>545.1769999999999</v>
      </c>
      <c r="E49" s="102">
        <v>0</v>
      </c>
      <c r="F49" s="102"/>
      <c r="G49" s="102"/>
      <c r="H49" s="102">
        <v>0</v>
      </c>
      <c r="I49" s="102">
        <f>546.776-1.599</f>
        <v>545.1769999999999</v>
      </c>
      <c r="J49" s="36"/>
      <c r="K49" s="193" t="s">
        <v>32</v>
      </c>
      <c r="L49" s="305"/>
    </row>
    <row r="50" spans="1:12" ht="19.5" customHeight="1">
      <c r="A50" s="305"/>
      <c r="B50" s="305"/>
      <c r="C50" s="188">
        <v>2019</v>
      </c>
      <c r="D50" s="102">
        <f t="shared" si="0"/>
        <v>257.23976</v>
      </c>
      <c r="E50" s="102">
        <v>0</v>
      </c>
      <c r="F50" s="102"/>
      <c r="G50" s="102"/>
      <c r="H50" s="102">
        <v>0</v>
      </c>
      <c r="I50" s="102">
        <f>257.23976</f>
        <v>257.23976</v>
      </c>
      <c r="J50" s="85"/>
      <c r="K50" s="193" t="s">
        <v>30</v>
      </c>
      <c r="L50" s="305"/>
    </row>
    <row r="51" spans="1:12" ht="19.5" customHeight="1">
      <c r="A51" s="305"/>
      <c r="B51" s="305"/>
      <c r="C51" s="188">
        <v>2019</v>
      </c>
      <c r="D51" s="102">
        <f t="shared" si="0"/>
        <v>143.115</v>
      </c>
      <c r="E51" s="102">
        <v>0</v>
      </c>
      <c r="F51" s="102"/>
      <c r="G51" s="102"/>
      <c r="H51" s="102">
        <v>0</v>
      </c>
      <c r="I51" s="102">
        <v>143.115</v>
      </c>
      <c r="J51" s="85"/>
      <c r="K51" s="193" t="s">
        <v>253</v>
      </c>
      <c r="L51" s="305"/>
    </row>
    <row r="52" spans="1:12" ht="19.5" customHeight="1">
      <c r="A52" s="305"/>
      <c r="B52" s="305"/>
      <c r="C52" s="362">
        <v>2020</v>
      </c>
      <c r="D52" s="102">
        <f t="shared" si="0"/>
        <v>344.987</v>
      </c>
      <c r="E52" s="102">
        <v>0</v>
      </c>
      <c r="F52" s="102"/>
      <c r="G52" s="102"/>
      <c r="H52" s="102">
        <v>0</v>
      </c>
      <c r="I52" s="102">
        <f>388.187-I53</f>
        <v>344.987</v>
      </c>
      <c r="J52" s="36"/>
      <c r="K52" s="193" t="s">
        <v>30</v>
      </c>
      <c r="L52" s="305"/>
    </row>
    <row r="53" spans="1:12" ht="26.25" customHeight="1">
      <c r="A53" s="305"/>
      <c r="B53" s="305"/>
      <c r="C53" s="363"/>
      <c r="D53" s="102">
        <f>I53</f>
        <v>43.2</v>
      </c>
      <c r="E53" s="102">
        <v>0</v>
      </c>
      <c r="F53" s="102"/>
      <c r="G53" s="102"/>
      <c r="H53" s="102">
        <v>0</v>
      </c>
      <c r="I53" s="102">
        <v>43.2</v>
      </c>
      <c r="J53" s="36"/>
      <c r="K53" s="179" t="s">
        <v>253</v>
      </c>
      <c r="L53" s="305"/>
    </row>
    <row r="54" spans="1:12" ht="19.5" customHeight="1">
      <c r="A54" s="305"/>
      <c r="B54" s="305"/>
      <c r="C54" s="188">
        <v>2021</v>
      </c>
      <c r="D54" s="102">
        <f>E54+F54+I54+J54</f>
        <v>370</v>
      </c>
      <c r="E54" s="102">
        <v>0</v>
      </c>
      <c r="F54" s="102"/>
      <c r="G54" s="102"/>
      <c r="H54" s="102">
        <v>0</v>
      </c>
      <c r="I54" s="102">
        <v>370</v>
      </c>
      <c r="J54" s="36"/>
      <c r="K54" s="304" t="s">
        <v>30</v>
      </c>
      <c r="L54" s="305"/>
    </row>
    <row r="55" spans="1:12" ht="19.5" customHeight="1">
      <c r="A55" s="305"/>
      <c r="B55" s="305"/>
      <c r="C55" s="188">
        <v>2022</v>
      </c>
      <c r="D55" s="102">
        <f>I55</f>
        <v>0</v>
      </c>
      <c r="E55" s="102">
        <v>0</v>
      </c>
      <c r="F55" s="102"/>
      <c r="G55" s="102"/>
      <c r="H55" s="102">
        <v>0</v>
      </c>
      <c r="I55" s="102"/>
      <c r="J55" s="36"/>
      <c r="K55" s="305"/>
      <c r="L55" s="305"/>
    </row>
    <row r="56" spans="1:12" ht="19.5" customHeight="1">
      <c r="A56" s="306"/>
      <c r="B56" s="306"/>
      <c r="C56" s="188">
        <v>2023</v>
      </c>
      <c r="D56" s="102">
        <f>I56</f>
        <v>0</v>
      </c>
      <c r="E56" s="102">
        <v>0</v>
      </c>
      <c r="F56" s="102"/>
      <c r="G56" s="102"/>
      <c r="H56" s="102">
        <v>0</v>
      </c>
      <c r="I56" s="102"/>
      <c r="J56" s="36"/>
      <c r="K56" s="306"/>
      <c r="L56" s="306"/>
    </row>
    <row r="57" spans="1:12" ht="19.5" customHeight="1">
      <c r="A57" s="304" t="s">
        <v>101</v>
      </c>
      <c r="B57" s="304" t="s">
        <v>64</v>
      </c>
      <c r="C57" s="354">
        <v>2017</v>
      </c>
      <c r="D57" s="102">
        <f>I57</f>
        <v>56.559</v>
      </c>
      <c r="E57" s="102">
        <v>0</v>
      </c>
      <c r="F57" s="102"/>
      <c r="G57" s="102"/>
      <c r="H57" s="102">
        <v>0</v>
      </c>
      <c r="I57" s="102">
        <v>56.559</v>
      </c>
      <c r="J57" s="36"/>
      <c r="K57" s="193" t="s">
        <v>169</v>
      </c>
      <c r="L57" s="304" t="s">
        <v>36</v>
      </c>
    </row>
    <row r="58" spans="1:12" ht="19.5" customHeight="1">
      <c r="A58" s="305"/>
      <c r="B58" s="305"/>
      <c r="C58" s="354"/>
      <c r="D58" s="102">
        <f>I58</f>
        <v>35</v>
      </c>
      <c r="E58" s="102">
        <v>0</v>
      </c>
      <c r="F58" s="102"/>
      <c r="G58" s="102"/>
      <c r="H58" s="102">
        <v>0</v>
      </c>
      <c r="I58" s="102">
        <v>35</v>
      </c>
      <c r="J58" s="36"/>
      <c r="K58" s="193" t="s">
        <v>53</v>
      </c>
      <c r="L58" s="305"/>
    </row>
    <row r="59" spans="1:12" ht="19.5" customHeight="1">
      <c r="A59" s="305"/>
      <c r="B59" s="305"/>
      <c r="C59" s="354"/>
      <c r="D59" s="102">
        <f t="shared" si="0"/>
        <v>250</v>
      </c>
      <c r="E59" s="102">
        <v>0</v>
      </c>
      <c r="F59" s="102"/>
      <c r="G59" s="102"/>
      <c r="H59" s="102">
        <v>0</v>
      </c>
      <c r="I59" s="102">
        <v>250</v>
      </c>
      <c r="J59" s="36"/>
      <c r="K59" s="193" t="s">
        <v>168</v>
      </c>
      <c r="L59" s="305"/>
    </row>
    <row r="60" spans="1:12" ht="19.5" customHeight="1">
      <c r="A60" s="305"/>
      <c r="B60" s="305"/>
      <c r="C60" s="354"/>
      <c r="D60" s="102">
        <f t="shared" si="0"/>
        <v>42</v>
      </c>
      <c r="E60" s="102">
        <v>0</v>
      </c>
      <c r="F60" s="102"/>
      <c r="G60" s="102"/>
      <c r="H60" s="102">
        <v>0</v>
      </c>
      <c r="I60" s="102">
        <v>42</v>
      </c>
      <c r="J60" s="36"/>
      <c r="K60" s="193" t="s">
        <v>163</v>
      </c>
      <c r="L60" s="305"/>
    </row>
    <row r="61" spans="1:13" ht="19.5" customHeight="1">
      <c r="A61" s="305"/>
      <c r="B61" s="305"/>
      <c r="C61" s="354">
        <v>2018</v>
      </c>
      <c r="D61" s="102">
        <f>E61+H61+I61</f>
        <v>277.231</v>
      </c>
      <c r="E61" s="102">
        <v>0</v>
      </c>
      <c r="F61" s="102"/>
      <c r="G61" s="102"/>
      <c r="H61" s="102">
        <v>0</v>
      </c>
      <c r="I61" s="102">
        <v>277.231</v>
      </c>
      <c r="J61" s="36"/>
      <c r="K61" s="193" t="s">
        <v>63</v>
      </c>
      <c r="L61" s="305"/>
      <c r="M61" t="s">
        <v>37</v>
      </c>
    </row>
    <row r="62" spans="1:12" ht="19.5" customHeight="1">
      <c r="A62" s="305"/>
      <c r="B62" s="305"/>
      <c r="C62" s="354"/>
      <c r="D62" s="102">
        <f>I62</f>
        <v>45.969</v>
      </c>
      <c r="E62" s="102">
        <v>0</v>
      </c>
      <c r="F62" s="102"/>
      <c r="G62" s="102"/>
      <c r="H62" s="102">
        <v>0</v>
      </c>
      <c r="I62" s="102">
        <v>45.969</v>
      </c>
      <c r="J62" s="36"/>
      <c r="K62" s="193" t="s">
        <v>169</v>
      </c>
      <c r="L62" s="305"/>
    </row>
    <row r="63" spans="1:12" ht="19.5" customHeight="1">
      <c r="A63" s="305"/>
      <c r="B63" s="305"/>
      <c r="C63" s="355"/>
      <c r="D63" s="102">
        <f>E63+H63+I63</f>
        <v>44.37</v>
      </c>
      <c r="E63" s="102">
        <v>0</v>
      </c>
      <c r="F63" s="102"/>
      <c r="G63" s="102"/>
      <c r="H63" s="102">
        <v>0</v>
      </c>
      <c r="I63" s="102">
        <v>44.37</v>
      </c>
      <c r="J63" s="36"/>
      <c r="K63" s="193" t="s">
        <v>163</v>
      </c>
      <c r="L63" s="305"/>
    </row>
    <row r="64" spans="1:12" ht="19.5" customHeight="1">
      <c r="A64" s="305"/>
      <c r="B64" s="305"/>
      <c r="C64" s="354">
        <v>2019</v>
      </c>
      <c r="D64" s="102">
        <f>SUM(E64:I64)</f>
        <v>150.46124</v>
      </c>
      <c r="E64" s="102">
        <v>0</v>
      </c>
      <c r="F64" s="102"/>
      <c r="G64" s="102"/>
      <c r="H64" s="102">
        <v>0</v>
      </c>
      <c r="I64" s="102">
        <v>150.46124</v>
      </c>
      <c r="J64" s="36"/>
      <c r="K64" s="193" t="s">
        <v>30</v>
      </c>
      <c r="L64" s="305"/>
    </row>
    <row r="65" spans="1:12" ht="19.5" customHeight="1">
      <c r="A65" s="305"/>
      <c r="B65" s="305"/>
      <c r="C65" s="354"/>
      <c r="D65" s="102">
        <f>I65</f>
        <v>70</v>
      </c>
      <c r="E65" s="102"/>
      <c r="F65" s="102"/>
      <c r="G65" s="102"/>
      <c r="H65" s="102"/>
      <c r="I65" s="102">
        <v>70</v>
      </c>
      <c r="J65" s="36"/>
      <c r="K65" s="193" t="s">
        <v>53</v>
      </c>
      <c r="L65" s="305"/>
    </row>
    <row r="66" spans="1:12" ht="19.5" customHeight="1">
      <c r="A66" s="305"/>
      <c r="B66" s="305"/>
      <c r="C66" s="355"/>
      <c r="D66" s="102">
        <f>E66+H66+I66</f>
        <v>49.188</v>
      </c>
      <c r="E66" s="102">
        <v>0</v>
      </c>
      <c r="F66" s="102"/>
      <c r="G66" s="102"/>
      <c r="H66" s="102">
        <v>0</v>
      </c>
      <c r="I66" s="102">
        <v>49.188</v>
      </c>
      <c r="J66" s="36"/>
      <c r="K66" s="193" t="s">
        <v>169</v>
      </c>
      <c r="L66" s="305"/>
    </row>
    <row r="67" spans="1:12" ht="19.5" customHeight="1">
      <c r="A67" s="305"/>
      <c r="B67" s="305"/>
      <c r="C67" s="354">
        <v>2020</v>
      </c>
      <c r="D67" s="102">
        <f>I67</f>
        <v>150.933</v>
      </c>
      <c r="E67" s="102">
        <v>0</v>
      </c>
      <c r="F67" s="102"/>
      <c r="G67" s="102"/>
      <c r="H67" s="102">
        <v>0</v>
      </c>
      <c r="I67" s="102">
        <v>150.933</v>
      </c>
      <c r="J67" s="36" t="s">
        <v>37</v>
      </c>
      <c r="K67" s="193" t="s">
        <v>30</v>
      </c>
      <c r="L67" s="305"/>
    </row>
    <row r="68" spans="1:12" ht="19.5" customHeight="1">
      <c r="A68" s="305"/>
      <c r="B68" s="305"/>
      <c r="C68" s="354"/>
      <c r="D68" s="102">
        <f>E68+H68+I68</f>
        <v>213.662</v>
      </c>
      <c r="E68" s="102">
        <v>0</v>
      </c>
      <c r="F68" s="102"/>
      <c r="G68" s="102"/>
      <c r="H68" s="102">
        <v>0</v>
      </c>
      <c r="I68" s="102">
        <v>213.662</v>
      </c>
      <c r="J68" s="36"/>
      <c r="K68" s="193" t="s">
        <v>169</v>
      </c>
      <c r="L68" s="305"/>
    </row>
    <row r="69" spans="1:12" ht="19.5" customHeight="1">
      <c r="A69" s="305"/>
      <c r="B69" s="305"/>
      <c r="C69" s="362">
        <v>2021</v>
      </c>
      <c r="D69" s="102">
        <f>I69</f>
        <v>200</v>
      </c>
      <c r="E69" s="102">
        <v>0</v>
      </c>
      <c r="F69" s="102"/>
      <c r="G69" s="102"/>
      <c r="H69" s="102">
        <v>0</v>
      </c>
      <c r="I69" s="102">
        <v>200</v>
      </c>
      <c r="J69" s="36"/>
      <c r="K69" s="193" t="s">
        <v>163</v>
      </c>
      <c r="L69" s="305"/>
    </row>
    <row r="70" spans="1:12" ht="19.5" customHeight="1">
      <c r="A70" s="305"/>
      <c r="B70" s="305"/>
      <c r="C70" s="363"/>
      <c r="D70" s="102">
        <f>E70+F70+I70+J70</f>
        <v>0</v>
      </c>
      <c r="E70" s="102">
        <v>0</v>
      </c>
      <c r="F70" s="102"/>
      <c r="G70" s="102"/>
      <c r="H70" s="102">
        <v>0</v>
      </c>
      <c r="I70" s="102"/>
      <c r="J70" s="36"/>
      <c r="K70" s="304" t="s">
        <v>30</v>
      </c>
      <c r="L70" s="305"/>
    </row>
    <row r="71" spans="1:12" ht="19.5" customHeight="1">
      <c r="A71" s="305"/>
      <c r="B71" s="305"/>
      <c r="C71" s="214">
        <v>2022</v>
      </c>
      <c r="D71" s="102">
        <f>I71</f>
        <v>0</v>
      </c>
      <c r="E71" s="102"/>
      <c r="F71" s="102"/>
      <c r="G71" s="102"/>
      <c r="H71" s="102"/>
      <c r="I71" s="102"/>
      <c r="J71" s="36"/>
      <c r="K71" s="305"/>
      <c r="L71" s="306"/>
    </row>
    <row r="72" spans="1:12" ht="19.5" customHeight="1">
      <c r="A72" s="306"/>
      <c r="B72" s="306"/>
      <c r="C72" s="214">
        <v>2023</v>
      </c>
      <c r="D72" s="102">
        <f>I72</f>
        <v>0</v>
      </c>
      <c r="E72" s="102"/>
      <c r="F72" s="102"/>
      <c r="G72" s="102"/>
      <c r="H72" s="102"/>
      <c r="I72" s="102"/>
      <c r="J72" s="36"/>
      <c r="K72" s="306"/>
      <c r="L72" s="177"/>
    </row>
    <row r="73" spans="1:12" ht="19.5" customHeight="1">
      <c r="A73" s="304" t="s">
        <v>102</v>
      </c>
      <c r="B73" s="307" t="s">
        <v>38</v>
      </c>
      <c r="C73" s="188">
        <v>2017</v>
      </c>
      <c r="D73" s="102">
        <f>I73</f>
        <v>10</v>
      </c>
      <c r="E73" s="102">
        <v>0</v>
      </c>
      <c r="F73" s="102"/>
      <c r="G73" s="102"/>
      <c r="H73" s="102">
        <v>0</v>
      </c>
      <c r="I73" s="102">
        <v>10</v>
      </c>
      <c r="J73" s="36"/>
      <c r="K73" s="304" t="s">
        <v>30</v>
      </c>
      <c r="L73" s="304" t="s">
        <v>39</v>
      </c>
    </row>
    <row r="74" spans="1:12" ht="19.5" customHeight="1">
      <c r="A74" s="305"/>
      <c r="B74" s="308"/>
      <c r="C74" s="188">
        <v>2018</v>
      </c>
      <c r="D74" s="102">
        <f>E74+H74+I74</f>
        <v>0</v>
      </c>
      <c r="E74" s="102">
        <v>0</v>
      </c>
      <c r="F74" s="102"/>
      <c r="G74" s="102"/>
      <c r="H74" s="102">
        <v>0</v>
      </c>
      <c r="I74" s="102">
        <v>0</v>
      </c>
      <c r="J74" s="36"/>
      <c r="K74" s="305"/>
      <c r="L74" s="305"/>
    </row>
    <row r="75" spans="1:12" ht="19.5" customHeight="1">
      <c r="A75" s="305"/>
      <c r="B75" s="308"/>
      <c r="C75" s="188">
        <v>2019</v>
      </c>
      <c r="D75" s="102">
        <f>SUM(E75:I75)</f>
        <v>0</v>
      </c>
      <c r="E75" s="102">
        <v>0</v>
      </c>
      <c r="F75" s="102"/>
      <c r="G75" s="102"/>
      <c r="H75" s="102">
        <v>0</v>
      </c>
      <c r="I75" s="102">
        <v>0</v>
      </c>
      <c r="J75" s="36"/>
      <c r="K75" s="305"/>
      <c r="L75" s="305"/>
    </row>
    <row r="76" spans="1:12" ht="19.5" customHeight="1">
      <c r="A76" s="305"/>
      <c r="B76" s="308"/>
      <c r="C76" s="188">
        <v>2020</v>
      </c>
      <c r="D76" s="102">
        <f>I76</f>
        <v>0</v>
      </c>
      <c r="E76" s="102">
        <v>0</v>
      </c>
      <c r="F76" s="102"/>
      <c r="G76" s="102"/>
      <c r="H76" s="102">
        <v>0</v>
      </c>
      <c r="I76" s="102">
        <v>0</v>
      </c>
      <c r="J76" s="36"/>
      <c r="K76" s="305"/>
      <c r="L76" s="305"/>
    </row>
    <row r="77" spans="1:12" ht="19.5" customHeight="1">
      <c r="A77" s="305"/>
      <c r="B77" s="308"/>
      <c r="C77" s="188">
        <v>2021</v>
      </c>
      <c r="D77" s="102">
        <f>E77+F77+I77+J77</f>
        <v>5</v>
      </c>
      <c r="E77" s="102">
        <v>0</v>
      </c>
      <c r="F77" s="102"/>
      <c r="G77" s="102"/>
      <c r="H77" s="102">
        <v>0</v>
      </c>
      <c r="I77" s="102">
        <v>5</v>
      </c>
      <c r="J77" s="36"/>
      <c r="K77" s="305"/>
      <c r="L77" s="305"/>
    </row>
    <row r="78" spans="1:12" ht="19.5" customHeight="1">
      <c r="A78" s="305"/>
      <c r="B78" s="308"/>
      <c r="C78" s="188">
        <v>2022</v>
      </c>
      <c r="D78" s="102">
        <f>I78</f>
        <v>0</v>
      </c>
      <c r="E78" s="102"/>
      <c r="F78" s="102"/>
      <c r="G78" s="102"/>
      <c r="H78" s="102"/>
      <c r="I78" s="102"/>
      <c r="J78" s="36"/>
      <c r="K78" s="305"/>
      <c r="L78" s="305"/>
    </row>
    <row r="79" spans="1:12" ht="19.5" customHeight="1">
      <c r="A79" s="306"/>
      <c r="B79" s="309"/>
      <c r="C79" s="188">
        <v>2023</v>
      </c>
      <c r="D79" s="102">
        <f>I79</f>
        <v>0</v>
      </c>
      <c r="E79" s="102"/>
      <c r="F79" s="102"/>
      <c r="G79" s="102"/>
      <c r="H79" s="102"/>
      <c r="I79" s="102"/>
      <c r="J79" s="36"/>
      <c r="K79" s="306"/>
      <c r="L79" s="306"/>
    </row>
    <row r="80" spans="1:12" ht="19.5" customHeight="1">
      <c r="A80" s="304" t="s">
        <v>103</v>
      </c>
      <c r="B80" s="307" t="s">
        <v>40</v>
      </c>
      <c r="C80" s="188">
        <v>2017</v>
      </c>
      <c r="D80" s="102">
        <f>I80</f>
        <v>5</v>
      </c>
      <c r="E80" s="102">
        <v>0</v>
      </c>
      <c r="F80" s="102"/>
      <c r="G80" s="102"/>
      <c r="H80" s="102">
        <v>0</v>
      </c>
      <c r="I80" s="102">
        <v>5</v>
      </c>
      <c r="J80" s="36"/>
      <c r="K80" s="304" t="s">
        <v>30</v>
      </c>
      <c r="L80" s="304" t="s">
        <v>41</v>
      </c>
    </row>
    <row r="81" spans="1:12" ht="19.5" customHeight="1">
      <c r="A81" s="305"/>
      <c r="B81" s="308"/>
      <c r="C81" s="188">
        <v>2018</v>
      </c>
      <c r="D81" s="102">
        <f>SUM(E81:I81)</f>
        <v>0</v>
      </c>
      <c r="E81" s="102">
        <v>0</v>
      </c>
      <c r="F81" s="102"/>
      <c r="G81" s="102"/>
      <c r="H81" s="102">
        <v>0</v>
      </c>
      <c r="I81" s="102">
        <v>0</v>
      </c>
      <c r="J81" s="36"/>
      <c r="K81" s="305"/>
      <c r="L81" s="305"/>
    </row>
    <row r="82" spans="1:12" ht="19.5" customHeight="1">
      <c r="A82" s="305"/>
      <c r="B82" s="308"/>
      <c r="C82" s="188">
        <v>2019</v>
      </c>
      <c r="D82" s="102">
        <f>SUM(E82:I82)</f>
        <v>0</v>
      </c>
      <c r="E82" s="102">
        <v>0</v>
      </c>
      <c r="F82" s="102"/>
      <c r="G82" s="102"/>
      <c r="H82" s="102">
        <v>0</v>
      </c>
      <c r="I82" s="102">
        <v>0</v>
      </c>
      <c r="J82" s="36"/>
      <c r="K82" s="305"/>
      <c r="L82" s="305"/>
    </row>
    <row r="83" spans="1:12" ht="19.5" customHeight="1">
      <c r="A83" s="305"/>
      <c r="B83" s="308"/>
      <c r="C83" s="188">
        <v>2020</v>
      </c>
      <c r="D83" s="102">
        <f>I83</f>
        <v>0</v>
      </c>
      <c r="E83" s="102">
        <v>0</v>
      </c>
      <c r="F83" s="102"/>
      <c r="G83" s="102"/>
      <c r="H83" s="102">
        <v>0</v>
      </c>
      <c r="I83" s="102">
        <v>0</v>
      </c>
      <c r="J83" s="36"/>
      <c r="K83" s="305"/>
      <c r="L83" s="305"/>
    </row>
    <row r="84" spans="1:12" ht="19.5" customHeight="1">
      <c r="A84" s="305"/>
      <c r="B84" s="308"/>
      <c r="C84" s="188">
        <v>2021</v>
      </c>
      <c r="D84" s="102">
        <f>I84</f>
        <v>5</v>
      </c>
      <c r="E84" s="102">
        <v>0</v>
      </c>
      <c r="F84" s="102"/>
      <c r="G84" s="102"/>
      <c r="H84" s="102">
        <v>0</v>
      </c>
      <c r="I84" s="102">
        <v>5</v>
      </c>
      <c r="J84" s="36"/>
      <c r="K84" s="305"/>
      <c r="L84" s="305"/>
    </row>
    <row r="85" spans="1:12" ht="19.5" customHeight="1">
      <c r="A85" s="305"/>
      <c r="B85" s="308"/>
      <c r="C85" s="188">
        <v>2022</v>
      </c>
      <c r="D85" s="102">
        <f>I85</f>
        <v>0</v>
      </c>
      <c r="E85" s="102"/>
      <c r="F85" s="102"/>
      <c r="G85" s="102"/>
      <c r="H85" s="102"/>
      <c r="I85" s="102"/>
      <c r="J85" s="36"/>
      <c r="K85" s="305"/>
      <c r="L85" s="305"/>
    </row>
    <row r="86" spans="1:12" ht="19.5" customHeight="1">
      <c r="A86" s="306"/>
      <c r="B86" s="309"/>
      <c r="C86" s="188">
        <v>2023</v>
      </c>
      <c r="D86" s="102">
        <f>I86</f>
        <v>0</v>
      </c>
      <c r="E86" s="102"/>
      <c r="F86" s="102"/>
      <c r="G86" s="102"/>
      <c r="H86" s="102"/>
      <c r="I86" s="102"/>
      <c r="J86" s="36"/>
      <c r="K86" s="306"/>
      <c r="L86" s="306"/>
    </row>
    <row r="87" spans="1:12" ht="19.5" customHeight="1">
      <c r="A87" s="304" t="s">
        <v>104</v>
      </c>
      <c r="B87" s="307" t="s">
        <v>42</v>
      </c>
      <c r="C87" s="188">
        <v>2017</v>
      </c>
      <c r="D87" s="102">
        <f>I87</f>
        <v>5</v>
      </c>
      <c r="E87" s="102">
        <v>0</v>
      </c>
      <c r="F87" s="102"/>
      <c r="G87" s="102"/>
      <c r="H87" s="102">
        <v>0</v>
      </c>
      <c r="I87" s="102">
        <v>5</v>
      </c>
      <c r="J87" s="36"/>
      <c r="K87" s="304" t="s">
        <v>30</v>
      </c>
      <c r="L87" s="304" t="s">
        <v>43</v>
      </c>
    </row>
    <row r="88" spans="1:12" ht="19.5" customHeight="1">
      <c r="A88" s="305"/>
      <c r="B88" s="308"/>
      <c r="C88" s="188">
        <v>2018</v>
      </c>
      <c r="D88" s="102">
        <f>SUM(E88:I88)</f>
        <v>0</v>
      </c>
      <c r="E88" s="102">
        <v>0</v>
      </c>
      <c r="F88" s="102"/>
      <c r="G88" s="102"/>
      <c r="H88" s="102">
        <v>0</v>
      </c>
      <c r="I88" s="102">
        <v>0</v>
      </c>
      <c r="J88" s="36"/>
      <c r="K88" s="305"/>
      <c r="L88" s="305"/>
    </row>
    <row r="89" spans="1:12" ht="19.5" customHeight="1">
      <c r="A89" s="305"/>
      <c r="B89" s="308"/>
      <c r="C89" s="188">
        <v>2019</v>
      </c>
      <c r="D89" s="102">
        <f>SUM(E89:I89)</f>
        <v>0</v>
      </c>
      <c r="E89" s="102">
        <v>0</v>
      </c>
      <c r="F89" s="102"/>
      <c r="G89" s="102"/>
      <c r="H89" s="102">
        <v>0</v>
      </c>
      <c r="I89" s="102">
        <v>0</v>
      </c>
      <c r="J89" s="36"/>
      <c r="K89" s="305"/>
      <c r="L89" s="305"/>
    </row>
    <row r="90" spans="1:12" ht="19.5" customHeight="1">
      <c r="A90" s="305"/>
      <c r="B90" s="308"/>
      <c r="C90" s="188">
        <v>2020</v>
      </c>
      <c r="D90" s="102">
        <f>I90</f>
        <v>0</v>
      </c>
      <c r="E90" s="102">
        <v>0</v>
      </c>
      <c r="F90" s="102"/>
      <c r="G90" s="102"/>
      <c r="H90" s="102">
        <v>0</v>
      </c>
      <c r="I90" s="102">
        <v>0</v>
      </c>
      <c r="J90" s="36"/>
      <c r="K90" s="305"/>
      <c r="L90" s="305"/>
    </row>
    <row r="91" spans="1:12" ht="19.5" customHeight="1">
      <c r="A91" s="305"/>
      <c r="B91" s="308"/>
      <c r="C91" s="188">
        <v>2021</v>
      </c>
      <c r="D91" s="102">
        <f>I91</f>
        <v>5</v>
      </c>
      <c r="E91" s="102">
        <v>0</v>
      </c>
      <c r="F91" s="102"/>
      <c r="G91" s="102"/>
      <c r="H91" s="102">
        <v>0</v>
      </c>
      <c r="I91" s="102">
        <v>5</v>
      </c>
      <c r="J91" s="36"/>
      <c r="K91" s="305"/>
      <c r="L91" s="305"/>
    </row>
    <row r="92" spans="1:12" ht="19.5" customHeight="1">
      <c r="A92" s="305"/>
      <c r="B92" s="308"/>
      <c r="C92" s="188">
        <v>2022</v>
      </c>
      <c r="D92" s="102">
        <f>I92</f>
        <v>0</v>
      </c>
      <c r="E92" s="102"/>
      <c r="F92" s="102"/>
      <c r="G92" s="102"/>
      <c r="H92" s="102"/>
      <c r="I92" s="102"/>
      <c r="J92" s="36"/>
      <c r="K92" s="305"/>
      <c r="L92" s="305"/>
    </row>
    <row r="93" spans="1:12" ht="19.5" customHeight="1">
      <c r="A93" s="306"/>
      <c r="B93" s="309"/>
      <c r="C93" s="188">
        <v>2023</v>
      </c>
      <c r="D93" s="102">
        <f>I93</f>
        <v>0</v>
      </c>
      <c r="E93" s="102"/>
      <c r="F93" s="102"/>
      <c r="G93" s="102"/>
      <c r="H93" s="102"/>
      <c r="I93" s="102"/>
      <c r="J93" s="36"/>
      <c r="K93" s="306"/>
      <c r="L93" s="306"/>
    </row>
    <row r="94" spans="1:12" ht="19.5" customHeight="1">
      <c r="A94" s="304" t="s">
        <v>105</v>
      </c>
      <c r="B94" s="307" t="s">
        <v>44</v>
      </c>
      <c r="C94" s="188">
        <v>2017</v>
      </c>
      <c r="D94" s="102">
        <f>I94</f>
        <v>80</v>
      </c>
      <c r="E94" s="102">
        <v>0</v>
      </c>
      <c r="F94" s="102"/>
      <c r="G94" s="102"/>
      <c r="H94" s="102">
        <v>0</v>
      </c>
      <c r="I94" s="102">
        <v>80</v>
      </c>
      <c r="J94" s="36"/>
      <c r="K94" s="304" t="s">
        <v>30</v>
      </c>
      <c r="L94" s="304" t="s">
        <v>45</v>
      </c>
    </row>
    <row r="95" spans="1:12" ht="19.5" customHeight="1">
      <c r="A95" s="305"/>
      <c r="B95" s="308"/>
      <c r="C95" s="188">
        <v>2018</v>
      </c>
      <c r="D95" s="102">
        <f>E95+H95+I95</f>
        <v>0</v>
      </c>
      <c r="E95" s="102">
        <v>0</v>
      </c>
      <c r="F95" s="102"/>
      <c r="G95" s="102"/>
      <c r="H95" s="37">
        <v>0</v>
      </c>
      <c r="I95" s="102">
        <v>0</v>
      </c>
      <c r="J95" s="36"/>
      <c r="K95" s="305"/>
      <c r="L95" s="305"/>
    </row>
    <row r="96" spans="1:12" ht="19.5" customHeight="1">
      <c r="A96" s="305"/>
      <c r="B96" s="308"/>
      <c r="C96" s="188">
        <v>2019</v>
      </c>
      <c r="D96" s="102">
        <f>SUM(E96:I96)</f>
        <v>0</v>
      </c>
      <c r="E96" s="102">
        <v>0</v>
      </c>
      <c r="F96" s="102"/>
      <c r="G96" s="102"/>
      <c r="H96" s="37">
        <v>0</v>
      </c>
      <c r="I96" s="102">
        <v>0</v>
      </c>
      <c r="J96" s="36" t="s">
        <v>37</v>
      </c>
      <c r="K96" s="305"/>
      <c r="L96" s="305"/>
    </row>
    <row r="97" spans="1:12" ht="19.5" customHeight="1">
      <c r="A97" s="305"/>
      <c r="B97" s="308"/>
      <c r="C97" s="188">
        <v>2020</v>
      </c>
      <c r="D97" s="102">
        <f>SUM(E97:I97)</f>
        <v>12.2</v>
      </c>
      <c r="E97" s="102">
        <v>0</v>
      </c>
      <c r="F97" s="102"/>
      <c r="G97" s="102"/>
      <c r="H97" s="37">
        <v>0</v>
      </c>
      <c r="I97" s="102">
        <v>12.2</v>
      </c>
      <c r="J97" s="36"/>
      <c r="K97" s="305"/>
      <c r="L97" s="305"/>
    </row>
    <row r="98" spans="1:12" ht="19.5" customHeight="1">
      <c r="A98" s="305"/>
      <c r="B98" s="308"/>
      <c r="C98" s="188">
        <v>2021</v>
      </c>
      <c r="D98" s="102">
        <f>I98</f>
        <v>5</v>
      </c>
      <c r="E98" s="102">
        <v>0</v>
      </c>
      <c r="F98" s="102"/>
      <c r="G98" s="102"/>
      <c r="H98" s="37">
        <v>0</v>
      </c>
      <c r="I98" s="102">
        <v>5</v>
      </c>
      <c r="J98" s="36"/>
      <c r="K98" s="305"/>
      <c r="L98" s="305"/>
    </row>
    <row r="99" spans="1:12" ht="19.5" customHeight="1">
      <c r="A99" s="305"/>
      <c r="B99" s="308"/>
      <c r="C99" s="188">
        <v>2022</v>
      </c>
      <c r="D99" s="102">
        <f>I99</f>
        <v>0</v>
      </c>
      <c r="E99" s="102"/>
      <c r="F99" s="102"/>
      <c r="G99" s="102"/>
      <c r="H99" s="37"/>
      <c r="I99" s="102"/>
      <c r="J99" s="36"/>
      <c r="K99" s="305"/>
      <c r="L99" s="305"/>
    </row>
    <row r="100" spans="1:12" ht="19.5" customHeight="1">
      <c r="A100" s="306"/>
      <c r="B100" s="309"/>
      <c r="C100" s="188">
        <v>2023</v>
      </c>
      <c r="D100" s="102">
        <f>I100</f>
        <v>0</v>
      </c>
      <c r="E100" s="102"/>
      <c r="F100" s="102"/>
      <c r="G100" s="102"/>
      <c r="H100" s="37"/>
      <c r="I100" s="102"/>
      <c r="J100" s="36"/>
      <c r="K100" s="306"/>
      <c r="L100" s="306"/>
    </row>
    <row r="101" spans="1:12" ht="19.5" customHeight="1">
      <c r="A101" s="304" t="s">
        <v>155</v>
      </c>
      <c r="B101" s="307" t="s">
        <v>157</v>
      </c>
      <c r="C101" s="188">
        <v>2017</v>
      </c>
      <c r="D101" s="102">
        <f>SUM(E101:I101)</f>
        <v>500</v>
      </c>
      <c r="E101" s="102">
        <v>0</v>
      </c>
      <c r="F101" s="102"/>
      <c r="G101" s="102"/>
      <c r="H101" s="37">
        <v>0</v>
      </c>
      <c r="I101" s="102">
        <v>500</v>
      </c>
      <c r="J101" s="36"/>
      <c r="K101" s="38" t="s">
        <v>160</v>
      </c>
      <c r="L101" s="304" t="s">
        <v>159</v>
      </c>
    </row>
    <row r="102" spans="1:12" ht="19.5" customHeight="1">
      <c r="A102" s="305"/>
      <c r="B102" s="308"/>
      <c r="C102" s="188">
        <v>2017</v>
      </c>
      <c r="D102" s="102">
        <f>I102</f>
        <v>374.024</v>
      </c>
      <c r="E102" s="102">
        <v>0</v>
      </c>
      <c r="F102" s="102"/>
      <c r="G102" s="102"/>
      <c r="H102" s="37">
        <v>0</v>
      </c>
      <c r="I102" s="102">
        <v>374.024</v>
      </c>
      <c r="J102" s="36"/>
      <c r="K102" s="191" t="s">
        <v>161</v>
      </c>
      <c r="L102" s="305"/>
    </row>
    <row r="103" spans="1:12" ht="19.5" customHeight="1">
      <c r="A103" s="305"/>
      <c r="B103" s="308"/>
      <c r="C103" s="188">
        <v>2017</v>
      </c>
      <c r="D103" s="102">
        <f>I103</f>
        <v>234.9695</v>
      </c>
      <c r="E103" s="102">
        <v>0</v>
      </c>
      <c r="F103" s="102"/>
      <c r="G103" s="102"/>
      <c r="H103" s="37">
        <v>0</v>
      </c>
      <c r="I103" s="102">
        <v>234.9695</v>
      </c>
      <c r="J103" s="36"/>
      <c r="K103" s="191" t="s">
        <v>54</v>
      </c>
      <c r="L103" s="305"/>
    </row>
    <row r="104" spans="1:12" ht="19.5" customHeight="1">
      <c r="A104" s="305"/>
      <c r="B104" s="308"/>
      <c r="C104" s="188">
        <v>2018</v>
      </c>
      <c r="D104" s="102">
        <f>SUM(E104:I104)</f>
        <v>359</v>
      </c>
      <c r="E104" s="102">
        <v>0</v>
      </c>
      <c r="F104" s="102"/>
      <c r="G104" s="102"/>
      <c r="H104" s="37">
        <v>0</v>
      </c>
      <c r="I104" s="102">
        <f>50+309</f>
        <v>359</v>
      </c>
      <c r="J104" s="36"/>
      <c r="K104" s="307" t="s">
        <v>30</v>
      </c>
      <c r="L104" s="305"/>
    </row>
    <row r="105" spans="1:12" ht="19.5" customHeight="1">
      <c r="A105" s="305"/>
      <c r="B105" s="308"/>
      <c r="C105" s="188">
        <v>2019</v>
      </c>
      <c r="D105" s="102">
        <f>I105</f>
        <v>378.499</v>
      </c>
      <c r="E105" s="102">
        <v>0</v>
      </c>
      <c r="F105" s="102"/>
      <c r="G105" s="102"/>
      <c r="H105" s="37">
        <v>0</v>
      </c>
      <c r="I105" s="102">
        <v>378.499</v>
      </c>
      <c r="J105" s="36"/>
      <c r="K105" s="308"/>
      <c r="L105" s="305"/>
    </row>
    <row r="106" spans="1:12" ht="19.5" customHeight="1">
      <c r="A106" s="305"/>
      <c r="B106" s="308"/>
      <c r="C106" s="188">
        <v>2020</v>
      </c>
      <c r="D106" s="102">
        <f>SUM(E106:I106)</f>
        <v>5</v>
      </c>
      <c r="E106" s="102">
        <v>0</v>
      </c>
      <c r="F106" s="102"/>
      <c r="G106" s="102"/>
      <c r="H106" s="37">
        <v>0</v>
      </c>
      <c r="I106" s="102">
        <v>5</v>
      </c>
      <c r="J106" s="36"/>
      <c r="K106" s="308"/>
      <c r="L106" s="305"/>
    </row>
    <row r="107" spans="1:12" ht="19.5" customHeight="1">
      <c r="A107" s="305"/>
      <c r="B107" s="308"/>
      <c r="C107" s="188">
        <v>2021</v>
      </c>
      <c r="D107" s="102">
        <f>I107</f>
        <v>0</v>
      </c>
      <c r="E107" s="102">
        <v>0</v>
      </c>
      <c r="F107" s="102"/>
      <c r="G107" s="102"/>
      <c r="H107" s="37">
        <v>0</v>
      </c>
      <c r="I107" s="102">
        <v>0</v>
      </c>
      <c r="J107" s="36"/>
      <c r="K107" s="308"/>
      <c r="L107" s="305"/>
    </row>
    <row r="108" spans="1:12" ht="19.5" customHeight="1">
      <c r="A108" s="305"/>
      <c r="B108" s="308"/>
      <c r="C108" s="188">
        <v>2022</v>
      </c>
      <c r="D108" s="102">
        <f>I108</f>
        <v>0</v>
      </c>
      <c r="E108" s="102"/>
      <c r="F108" s="102"/>
      <c r="G108" s="102"/>
      <c r="H108" s="37"/>
      <c r="I108" s="102"/>
      <c r="J108" s="36"/>
      <c r="K108" s="308"/>
      <c r="L108" s="305"/>
    </row>
    <row r="109" spans="1:12" ht="19.5" customHeight="1">
      <c r="A109" s="306"/>
      <c r="B109" s="309"/>
      <c r="C109" s="188">
        <v>2023</v>
      </c>
      <c r="D109" s="102">
        <f>I109</f>
        <v>0</v>
      </c>
      <c r="E109" s="102"/>
      <c r="F109" s="102"/>
      <c r="G109" s="102"/>
      <c r="H109" s="37"/>
      <c r="I109" s="102"/>
      <c r="J109" s="36"/>
      <c r="K109" s="309"/>
      <c r="L109" s="306"/>
    </row>
    <row r="110" spans="1:12" ht="19.5" customHeight="1">
      <c r="A110" s="304" t="s">
        <v>156</v>
      </c>
      <c r="B110" s="307" t="s">
        <v>336</v>
      </c>
      <c r="C110" s="188">
        <v>2017</v>
      </c>
      <c r="D110" s="102">
        <f>I110</f>
        <v>65.8528</v>
      </c>
      <c r="E110" s="102">
        <v>0</v>
      </c>
      <c r="F110" s="102"/>
      <c r="G110" s="102"/>
      <c r="H110" s="37">
        <v>0</v>
      </c>
      <c r="I110" s="102">
        <v>65.8528</v>
      </c>
      <c r="J110" s="36"/>
      <c r="K110" s="304" t="s">
        <v>55</v>
      </c>
      <c r="L110" s="304" t="s">
        <v>294</v>
      </c>
    </row>
    <row r="111" spans="1:12" ht="19.5" customHeight="1">
      <c r="A111" s="305"/>
      <c r="B111" s="308"/>
      <c r="C111" s="188">
        <v>2018</v>
      </c>
      <c r="D111" s="102">
        <f>SUM(E111:I111)</f>
        <v>60</v>
      </c>
      <c r="E111" s="102">
        <v>0</v>
      </c>
      <c r="F111" s="102"/>
      <c r="G111" s="102"/>
      <c r="H111" s="37">
        <v>0</v>
      </c>
      <c r="I111" s="102">
        <v>60</v>
      </c>
      <c r="J111" s="36"/>
      <c r="K111" s="305"/>
      <c r="L111" s="305"/>
    </row>
    <row r="112" spans="1:12" ht="19.5" customHeight="1">
      <c r="A112" s="305"/>
      <c r="B112" s="308"/>
      <c r="C112" s="188">
        <v>2019</v>
      </c>
      <c r="D112" s="102">
        <f>SUM(E112:I112)</f>
        <v>60</v>
      </c>
      <c r="E112" s="102">
        <v>0</v>
      </c>
      <c r="F112" s="102"/>
      <c r="G112" s="102"/>
      <c r="H112" s="37">
        <v>0</v>
      </c>
      <c r="I112" s="102">
        <v>60</v>
      </c>
      <c r="J112" s="36"/>
      <c r="K112" s="305"/>
      <c r="L112" s="305"/>
    </row>
    <row r="113" spans="1:12" ht="19.5" customHeight="1">
      <c r="A113" s="305"/>
      <c r="B113" s="308"/>
      <c r="C113" s="188">
        <v>2020</v>
      </c>
      <c r="D113" s="102">
        <f aca="true" t="shared" si="1" ref="D113:D128">I113</f>
        <v>113.39208</v>
      </c>
      <c r="E113" s="102">
        <v>0</v>
      </c>
      <c r="F113" s="102"/>
      <c r="G113" s="102"/>
      <c r="H113" s="37">
        <v>0</v>
      </c>
      <c r="I113" s="102">
        <v>113.39208</v>
      </c>
      <c r="J113" s="36"/>
      <c r="K113" s="305"/>
      <c r="L113" s="305"/>
    </row>
    <row r="114" spans="1:12" ht="19.5" customHeight="1">
      <c r="A114" s="305"/>
      <c r="B114" s="308"/>
      <c r="C114" s="188">
        <v>2021</v>
      </c>
      <c r="D114" s="102">
        <f t="shared" si="1"/>
        <v>60</v>
      </c>
      <c r="E114" s="102">
        <v>0</v>
      </c>
      <c r="F114" s="102"/>
      <c r="G114" s="102"/>
      <c r="H114" s="37">
        <v>0</v>
      </c>
      <c r="I114" s="102">
        <v>60</v>
      </c>
      <c r="J114" s="36"/>
      <c r="K114" s="305"/>
      <c r="L114" s="305"/>
    </row>
    <row r="115" spans="1:12" ht="19.5" customHeight="1">
      <c r="A115" s="305"/>
      <c r="B115" s="308"/>
      <c r="C115" s="188">
        <v>2022</v>
      </c>
      <c r="D115" s="102">
        <f>I115</f>
        <v>0</v>
      </c>
      <c r="E115" s="102"/>
      <c r="F115" s="102"/>
      <c r="G115" s="102"/>
      <c r="H115" s="37"/>
      <c r="I115" s="102">
        <v>0</v>
      </c>
      <c r="J115" s="36"/>
      <c r="K115" s="305"/>
      <c r="L115" s="305"/>
    </row>
    <row r="116" spans="1:12" ht="19.5" customHeight="1">
      <c r="A116" s="306"/>
      <c r="B116" s="309"/>
      <c r="C116" s="188">
        <v>2023</v>
      </c>
      <c r="D116" s="102">
        <f t="shared" si="1"/>
        <v>0</v>
      </c>
      <c r="E116" s="102"/>
      <c r="F116" s="102"/>
      <c r="G116" s="102"/>
      <c r="H116" s="37"/>
      <c r="I116" s="102">
        <v>0</v>
      </c>
      <c r="J116" s="36"/>
      <c r="K116" s="306"/>
      <c r="L116" s="305"/>
    </row>
    <row r="117" spans="1:12" ht="19.5" customHeight="1">
      <c r="A117" s="304" t="s">
        <v>170</v>
      </c>
      <c r="B117" s="307" t="s">
        <v>171</v>
      </c>
      <c r="C117" s="354">
        <v>2017</v>
      </c>
      <c r="D117" s="102">
        <f t="shared" si="1"/>
        <v>100</v>
      </c>
      <c r="E117" s="102">
        <v>0</v>
      </c>
      <c r="F117" s="102"/>
      <c r="G117" s="102"/>
      <c r="H117" s="37">
        <v>0</v>
      </c>
      <c r="I117" s="102">
        <v>100</v>
      </c>
      <c r="J117" s="36"/>
      <c r="K117" s="191" t="s">
        <v>53</v>
      </c>
      <c r="L117" s="305"/>
    </row>
    <row r="118" spans="1:12" ht="19.5" customHeight="1">
      <c r="A118" s="305"/>
      <c r="B118" s="308"/>
      <c r="C118" s="354"/>
      <c r="D118" s="102">
        <f t="shared" si="1"/>
        <v>35</v>
      </c>
      <c r="E118" s="102">
        <v>0</v>
      </c>
      <c r="F118" s="102"/>
      <c r="G118" s="102"/>
      <c r="H118" s="37">
        <v>0</v>
      </c>
      <c r="I118" s="102">
        <v>35</v>
      </c>
      <c r="J118" s="36"/>
      <c r="K118" s="191" t="s">
        <v>169</v>
      </c>
      <c r="L118" s="305"/>
    </row>
    <row r="119" spans="1:12" ht="19.5" customHeight="1">
      <c r="A119" s="305"/>
      <c r="B119" s="308"/>
      <c r="C119" s="188">
        <v>2018</v>
      </c>
      <c r="D119" s="102">
        <f t="shared" si="1"/>
        <v>0</v>
      </c>
      <c r="E119" s="102">
        <v>0</v>
      </c>
      <c r="F119" s="102"/>
      <c r="G119" s="102"/>
      <c r="H119" s="37">
        <v>0</v>
      </c>
      <c r="I119" s="102">
        <v>0</v>
      </c>
      <c r="J119" s="36"/>
      <c r="K119" s="191"/>
      <c r="L119" s="305"/>
    </row>
    <row r="120" spans="1:12" ht="19.5" customHeight="1">
      <c r="A120" s="305"/>
      <c r="B120" s="308"/>
      <c r="C120" s="188">
        <v>2019</v>
      </c>
      <c r="D120" s="102">
        <f t="shared" si="1"/>
        <v>0</v>
      </c>
      <c r="E120" s="102">
        <v>0</v>
      </c>
      <c r="F120" s="102"/>
      <c r="G120" s="102"/>
      <c r="H120" s="37">
        <v>0</v>
      </c>
      <c r="I120" s="102">
        <v>0</v>
      </c>
      <c r="J120" s="36"/>
      <c r="K120" s="191"/>
      <c r="L120" s="305"/>
    </row>
    <row r="121" spans="1:12" ht="19.5" customHeight="1">
      <c r="A121" s="305"/>
      <c r="B121" s="308"/>
      <c r="C121" s="188">
        <v>2020</v>
      </c>
      <c r="D121" s="102">
        <f t="shared" si="1"/>
        <v>0</v>
      </c>
      <c r="E121" s="102">
        <v>0</v>
      </c>
      <c r="F121" s="102"/>
      <c r="G121" s="102"/>
      <c r="H121" s="37">
        <v>0</v>
      </c>
      <c r="I121" s="102">
        <v>0</v>
      </c>
      <c r="J121" s="36"/>
      <c r="K121" s="191"/>
      <c r="L121" s="305"/>
    </row>
    <row r="122" spans="1:12" ht="19.5" customHeight="1">
      <c r="A122" s="305"/>
      <c r="B122" s="308"/>
      <c r="C122" s="188">
        <v>2021</v>
      </c>
      <c r="D122" s="102">
        <f t="shared" si="1"/>
        <v>0</v>
      </c>
      <c r="E122" s="102">
        <f>I122</f>
        <v>0</v>
      </c>
      <c r="F122" s="102"/>
      <c r="G122" s="102"/>
      <c r="H122" s="37">
        <v>0</v>
      </c>
      <c r="I122" s="102">
        <v>0</v>
      </c>
      <c r="J122" s="36"/>
      <c r="K122" s="191"/>
      <c r="L122" s="305"/>
    </row>
    <row r="123" spans="1:12" ht="19.5" customHeight="1">
      <c r="A123" s="305"/>
      <c r="B123" s="308"/>
      <c r="C123" s="188">
        <v>2022</v>
      </c>
      <c r="D123" s="102">
        <f t="shared" si="1"/>
        <v>0</v>
      </c>
      <c r="E123" s="102"/>
      <c r="F123" s="102"/>
      <c r="G123" s="102"/>
      <c r="H123" s="37"/>
      <c r="I123" s="102">
        <v>0</v>
      </c>
      <c r="J123" s="36"/>
      <c r="K123" s="191"/>
      <c r="L123" s="305"/>
    </row>
    <row r="124" spans="1:12" ht="19.5" customHeight="1">
      <c r="A124" s="306"/>
      <c r="B124" s="309"/>
      <c r="C124" s="188">
        <v>2023</v>
      </c>
      <c r="D124" s="102">
        <f t="shared" si="1"/>
        <v>0</v>
      </c>
      <c r="E124" s="102"/>
      <c r="F124" s="102"/>
      <c r="G124" s="102"/>
      <c r="H124" s="37"/>
      <c r="I124" s="102">
        <v>0</v>
      </c>
      <c r="J124" s="36"/>
      <c r="K124" s="191"/>
      <c r="L124" s="305"/>
    </row>
    <row r="125" spans="1:12" ht="19.5" customHeight="1">
      <c r="A125" s="304" t="s">
        <v>192</v>
      </c>
      <c r="B125" s="307" t="s">
        <v>193</v>
      </c>
      <c r="C125" s="188">
        <v>2017</v>
      </c>
      <c r="D125" s="102">
        <f t="shared" si="1"/>
        <v>0</v>
      </c>
      <c r="E125" s="102">
        <v>0</v>
      </c>
      <c r="F125" s="102"/>
      <c r="G125" s="102"/>
      <c r="H125" s="37">
        <v>0</v>
      </c>
      <c r="I125" s="102">
        <v>0</v>
      </c>
      <c r="J125" s="36"/>
      <c r="K125" s="191"/>
      <c r="L125" s="305"/>
    </row>
    <row r="126" spans="1:12" ht="19.5" customHeight="1">
      <c r="A126" s="305"/>
      <c r="B126" s="308"/>
      <c r="C126" s="188">
        <v>2018</v>
      </c>
      <c r="D126" s="102">
        <f t="shared" si="1"/>
        <v>39.66</v>
      </c>
      <c r="E126" s="102">
        <v>0</v>
      </c>
      <c r="F126" s="102"/>
      <c r="G126" s="102"/>
      <c r="H126" s="37">
        <v>0</v>
      </c>
      <c r="I126" s="102">
        <v>39.66</v>
      </c>
      <c r="J126" s="36"/>
      <c r="K126" s="191" t="s">
        <v>53</v>
      </c>
      <c r="L126" s="305"/>
    </row>
    <row r="127" spans="1:12" ht="19.5" customHeight="1">
      <c r="A127" s="305"/>
      <c r="B127" s="308"/>
      <c r="C127" s="188">
        <v>2019</v>
      </c>
      <c r="D127" s="102">
        <f t="shared" si="1"/>
        <v>0</v>
      </c>
      <c r="E127" s="102">
        <v>0</v>
      </c>
      <c r="F127" s="102"/>
      <c r="G127" s="102"/>
      <c r="H127" s="37">
        <v>0</v>
      </c>
      <c r="I127" s="102">
        <v>0</v>
      </c>
      <c r="J127" s="36"/>
      <c r="K127" s="191"/>
      <c r="L127" s="305"/>
    </row>
    <row r="128" spans="1:12" ht="19.5" customHeight="1">
      <c r="A128" s="305"/>
      <c r="B128" s="308"/>
      <c r="C128" s="188">
        <v>2020</v>
      </c>
      <c r="D128" s="102">
        <f t="shared" si="1"/>
        <v>0</v>
      </c>
      <c r="E128" s="102">
        <v>0</v>
      </c>
      <c r="F128" s="102"/>
      <c r="G128" s="102"/>
      <c r="H128" s="37">
        <v>0</v>
      </c>
      <c r="I128" s="102">
        <v>0</v>
      </c>
      <c r="J128" s="36"/>
      <c r="K128" s="191"/>
      <c r="L128" s="305"/>
    </row>
    <row r="129" spans="1:12" ht="19.5" customHeight="1">
      <c r="A129" s="305"/>
      <c r="B129" s="308"/>
      <c r="C129" s="188">
        <v>2021</v>
      </c>
      <c r="D129" s="102">
        <v>0</v>
      </c>
      <c r="E129" s="102">
        <v>0</v>
      </c>
      <c r="F129" s="102"/>
      <c r="G129" s="102"/>
      <c r="H129" s="37">
        <v>0</v>
      </c>
      <c r="I129" s="102">
        <v>0</v>
      </c>
      <c r="J129" s="36"/>
      <c r="K129" s="191"/>
      <c r="L129" s="306"/>
    </row>
    <row r="130" spans="1:12" ht="19.5" customHeight="1">
      <c r="A130" s="305"/>
      <c r="B130" s="308"/>
      <c r="C130" s="188">
        <v>2022</v>
      </c>
      <c r="D130" s="102">
        <f>I130</f>
        <v>0</v>
      </c>
      <c r="E130" s="102"/>
      <c r="F130" s="102"/>
      <c r="G130" s="102"/>
      <c r="H130" s="37"/>
      <c r="I130" s="102">
        <v>0</v>
      </c>
      <c r="J130" s="36"/>
      <c r="K130" s="191"/>
      <c r="L130" s="178"/>
    </row>
    <row r="131" spans="1:12" ht="19.5" customHeight="1">
      <c r="A131" s="306"/>
      <c r="B131" s="309"/>
      <c r="C131" s="188">
        <v>2023</v>
      </c>
      <c r="D131" s="188">
        <f>I131</f>
        <v>0</v>
      </c>
      <c r="E131" s="188"/>
      <c r="F131" s="188"/>
      <c r="G131" s="188"/>
      <c r="H131" s="188"/>
      <c r="I131" s="188">
        <v>0</v>
      </c>
      <c r="J131" s="36"/>
      <c r="K131" s="191"/>
      <c r="L131" s="178"/>
    </row>
    <row r="132" spans="1:12" ht="19.5" customHeight="1">
      <c r="A132" s="304" t="s">
        <v>319</v>
      </c>
      <c r="B132" s="307" t="s">
        <v>310</v>
      </c>
      <c r="C132" s="188">
        <v>2017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36"/>
      <c r="K132" s="191"/>
      <c r="L132" s="178"/>
    </row>
    <row r="133" spans="1:12" ht="19.5" customHeight="1">
      <c r="A133" s="305"/>
      <c r="B133" s="308"/>
      <c r="C133" s="188">
        <v>2018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36"/>
      <c r="K133" s="191"/>
      <c r="L133" s="178"/>
    </row>
    <row r="134" spans="1:12" ht="19.5" customHeight="1">
      <c r="A134" s="305"/>
      <c r="B134" s="308"/>
      <c r="C134" s="188">
        <v>2019</v>
      </c>
      <c r="D134" s="94">
        <f>H134+I134</f>
        <v>27.739</v>
      </c>
      <c r="E134" s="94">
        <v>0</v>
      </c>
      <c r="F134" s="94">
        <v>0</v>
      </c>
      <c r="G134" s="94">
        <v>0</v>
      </c>
      <c r="H134" s="94">
        <v>0</v>
      </c>
      <c r="I134" s="94">
        <v>27.739</v>
      </c>
      <c r="J134" s="36"/>
      <c r="K134" s="191"/>
      <c r="L134" s="178"/>
    </row>
    <row r="135" spans="1:12" ht="19.5" customHeight="1">
      <c r="A135" s="305"/>
      <c r="B135" s="308"/>
      <c r="C135" s="188">
        <v>2020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36"/>
      <c r="K135" s="191"/>
      <c r="L135" s="178"/>
    </row>
    <row r="136" spans="1:12" ht="19.5" customHeight="1">
      <c r="A136" s="305"/>
      <c r="B136" s="308"/>
      <c r="C136" s="188">
        <v>2021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36"/>
      <c r="K136" s="191"/>
      <c r="L136" s="178"/>
    </row>
    <row r="137" spans="1:12" ht="19.5" customHeight="1">
      <c r="A137" s="305"/>
      <c r="B137" s="308"/>
      <c r="C137" s="188">
        <v>2022</v>
      </c>
      <c r="D137" s="94">
        <f>I137</f>
        <v>0</v>
      </c>
      <c r="E137" s="94"/>
      <c r="F137" s="94"/>
      <c r="G137" s="94"/>
      <c r="H137" s="94"/>
      <c r="I137" s="94">
        <v>0</v>
      </c>
      <c r="J137" s="36"/>
      <c r="K137" s="191"/>
      <c r="L137" s="178"/>
    </row>
    <row r="138" spans="1:12" ht="19.5" customHeight="1">
      <c r="A138" s="306"/>
      <c r="B138" s="309"/>
      <c r="C138" s="188">
        <v>2023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36"/>
      <c r="K138" s="191"/>
      <c r="L138" s="178"/>
    </row>
    <row r="139" spans="1:12" ht="19.5" customHeight="1">
      <c r="A139" s="304" t="s">
        <v>343</v>
      </c>
      <c r="B139" s="307" t="s">
        <v>344</v>
      </c>
      <c r="C139" s="188">
        <v>2017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36"/>
      <c r="K139" s="191"/>
      <c r="L139" s="178"/>
    </row>
    <row r="140" spans="1:12" ht="19.5" customHeight="1">
      <c r="A140" s="305"/>
      <c r="B140" s="308"/>
      <c r="C140" s="188">
        <v>2018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36"/>
      <c r="K140" s="191"/>
      <c r="L140" s="178"/>
    </row>
    <row r="141" spans="1:12" ht="19.5" customHeight="1">
      <c r="A141" s="305"/>
      <c r="B141" s="308"/>
      <c r="C141" s="188">
        <v>2019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36"/>
      <c r="K141" s="191"/>
      <c r="L141" s="178"/>
    </row>
    <row r="142" spans="1:12" ht="19.5" customHeight="1">
      <c r="A142" s="305"/>
      <c r="B142" s="308"/>
      <c r="C142" s="359">
        <v>2020</v>
      </c>
      <c r="D142" s="94">
        <f>I142</f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f>200-200</f>
        <v>0</v>
      </c>
      <c r="J142" s="36"/>
      <c r="K142" s="191" t="s">
        <v>244</v>
      </c>
      <c r="L142" s="178"/>
    </row>
    <row r="143" spans="1:12" ht="19.5" customHeight="1">
      <c r="A143" s="305"/>
      <c r="B143" s="308"/>
      <c r="C143" s="360"/>
      <c r="D143" s="94">
        <f>I143</f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f>200-200</f>
        <v>0</v>
      </c>
      <c r="J143" s="36"/>
      <c r="K143" s="191" t="s">
        <v>169</v>
      </c>
      <c r="L143" s="178"/>
    </row>
    <row r="144" spans="1:12" ht="19.5" customHeight="1">
      <c r="A144" s="305"/>
      <c r="B144" s="308"/>
      <c r="C144" s="361"/>
      <c r="D144" s="94">
        <f>I144</f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f>100-100</f>
        <v>0</v>
      </c>
      <c r="J144" s="36"/>
      <c r="K144" s="191" t="s">
        <v>256</v>
      </c>
      <c r="L144" s="178"/>
    </row>
    <row r="145" spans="1:12" ht="19.5" customHeight="1">
      <c r="A145" s="305"/>
      <c r="B145" s="308"/>
      <c r="C145" s="188">
        <v>2021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36"/>
      <c r="K145" s="191"/>
      <c r="L145" s="178"/>
    </row>
    <row r="146" spans="1:12" ht="19.5" customHeight="1">
      <c r="A146" s="305"/>
      <c r="B146" s="308"/>
      <c r="C146" s="188">
        <v>2022</v>
      </c>
      <c r="D146" s="94">
        <f>I146</f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36"/>
      <c r="K146" s="191"/>
      <c r="L146" s="178"/>
    </row>
    <row r="147" spans="1:12" ht="19.5" customHeight="1">
      <c r="A147" s="306"/>
      <c r="B147" s="309"/>
      <c r="C147" s="188">
        <v>2023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36"/>
      <c r="K147" s="191"/>
      <c r="L147" s="178"/>
    </row>
    <row r="148" spans="1:12" ht="19.5" customHeight="1">
      <c r="A148" s="385"/>
      <c r="B148" s="388" t="s">
        <v>164</v>
      </c>
      <c r="C148" s="62">
        <v>2017</v>
      </c>
      <c r="D148" s="168">
        <f>I148</f>
        <v>2414.4018</v>
      </c>
      <c r="E148" s="168">
        <v>0</v>
      </c>
      <c r="F148" s="168"/>
      <c r="G148" s="168"/>
      <c r="H148" s="168">
        <v>0</v>
      </c>
      <c r="I148" s="168">
        <f>I118+I117+I110+I103+I102+I101+I94+I87+I80+I73+I60+I59+I58+I57+I48+I47+I46+I32+I24+I17+I39</f>
        <v>2414.4018</v>
      </c>
      <c r="J148" s="36"/>
      <c r="K148" s="193"/>
      <c r="L148" s="39"/>
    </row>
    <row r="149" spans="1:12" ht="19.5" customHeight="1">
      <c r="A149" s="386"/>
      <c r="B149" s="389"/>
      <c r="C149" s="62">
        <v>2018</v>
      </c>
      <c r="D149" s="168">
        <f>I149</f>
        <v>1441.4070000000002</v>
      </c>
      <c r="E149" s="168">
        <f>E18+E25+E33+E40+E49+E61+E63+E74+E81+E88+E95+E101+E102+E103+E111</f>
        <v>0</v>
      </c>
      <c r="F149" s="168"/>
      <c r="G149" s="168"/>
      <c r="H149" s="168">
        <f>H18+H25+H33+H40+H49+H61+H63+H74+H81+H88+H95+H101+H102+H103+H111</f>
        <v>0</v>
      </c>
      <c r="I149" s="168">
        <f>I119+I111+I104+I95+I88+I81+I74+I63+I49+I40+I33+I25+I18+I61+I62+I126</f>
        <v>1441.4070000000002</v>
      </c>
      <c r="J149" s="36"/>
      <c r="K149" s="193"/>
      <c r="L149" s="39"/>
    </row>
    <row r="150" spans="1:12" ht="19.5" customHeight="1">
      <c r="A150" s="386"/>
      <c r="B150" s="389"/>
      <c r="C150" s="244">
        <v>2019</v>
      </c>
      <c r="D150" s="245">
        <f>I150</f>
        <v>1211.5683599999998</v>
      </c>
      <c r="E150" s="245">
        <f>E19+E26+E34+E41+E50+E64+E75+E82+E89+E96+E104+E112</f>
        <v>0</v>
      </c>
      <c r="F150" s="245"/>
      <c r="G150" s="245"/>
      <c r="H150" s="245">
        <f>H19+H26+H34+H41+H50+H64+H75+H82+H89+H96+H104+H112</f>
        <v>0</v>
      </c>
      <c r="I150" s="245">
        <f>I127+++I120+I112+I105+I96+I89+I82+I75+I64+I66+I50+I41+I34+I26+I19+I51+I134+I65</f>
        <v>1211.5683599999998</v>
      </c>
      <c r="J150" s="36"/>
      <c r="K150" s="193"/>
      <c r="L150" s="39"/>
    </row>
    <row r="151" spans="1:12" ht="19.5" customHeight="1">
      <c r="A151" s="386"/>
      <c r="B151" s="389"/>
      <c r="C151" s="62">
        <v>2020</v>
      </c>
      <c r="D151" s="168">
        <f>I151</f>
        <v>900.06708</v>
      </c>
      <c r="E151" s="168">
        <f>E20+E27+E35+E42+E52+E67+E76+E83+E90+E97+E106+E121</f>
        <v>0</v>
      </c>
      <c r="F151" s="168"/>
      <c r="G151" s="168"/>
      <c r="H151" s="168">
        <f>H20+H27+H35+H42+H52+H67+H76+H83+H90+H97+H106+H121</f>
        <v>0</v>
      </c>
      <c r="I151" s="168">
        <f>I128+I1+I144+I12748+I113+I106+I97+I90+I83+I76+I68+I52+I42+I35+I27+I20+I67+I143+I142+I53</f>
        <v>900.06708</v>
      </c>
      <c r="J151" s="36"/>
      <c r="K151" s="193"/>
      <c r="L151" s="39"/>
    </row>
    <row r="152" spans="1:12" ht="19.5" customHeight="1">
      <c r="A152" s="386"/>
      <c r="B152" s="389"/>
      <c r="C152" s="62">
        <v>2021</v>
      </c>
      <c r="D152" s="168">
        <f>I152+H152</f>
        <v>670</v>
      </c>
      <c r="E152" s="168">
        <v>0</v>
      </c>
      <c r="F152" s="168"/>
      <c r="G152" s="168"/>
      <c r="H152" s="168">
        <v>0</v>
      </c>
      <c r="I152" s="168">
        <f>I129+I122+I114+I107+I98+I91+I84+I77+I70+I69+I54+I43+I36+I29+I21</f>
        <v>670</v>
      </c>
      <c r="J152" s="36"/>
      <c r="K152" s="193"/>
      <c r="L152" s="39"/>
    </row>
    <row r="153" spans="1:12" ht="19.5" customHeight="1">
      <c r="A153" s="386"/>
      <c r="B153" s="389"/>
      <c r="C153" s="62">
        <v>2022</v>
      </c>
      <c r="D153" s="168">
        <f>I153</f>
        <v>0</v>
      </c>
      <c r="E153" s="168"/>
      <c r="F153" s="168"/>
      <c r="G153" s="168"/>
      <c r="H153" s="168"/>
      <c r="I153" s="168">
        <f>I131+I124+I116+I109+I100+I93+I86+I79+I71+I55+I44+I37+I30+I22</f>
        <v>0</v>
      </c>
      <c r="J153" s="128"/>
      <c r="K153" s="193"/>
      <c r="L153" s="39"/>
    </row>
    <row r="154" spans="1:12" ht="19.5" customHeight="1">
      <c r="A154" s="387"/>
      <c r="B154" s="390"/>
      <c r="C154" s="62">
        <v>2023</v>
      </c>
      <c r="D154" s="168">
        <f>I154</f>
        <v>0</v>
      </c>
      <c r="E154" s="168"/>
      <c r="F154" s="168"/>
      <c r="G154" s="168"/>
      <c r="H154" s="168"/>
      <c r="I154" s="168">
        <f>I147+I138+I131+I124+I116+I109+I100+I93+I86+I79+I72+I56+I45+I38+I31</f>
        <v>0</v>
      </c>
      <c r="J154" s="125"/>
      <c r="K154" s="126"/>
      <c r="L154" s="127"/>
    </row>
    <row r="155" spans="1:12" ht="19.5" customHeight="1">
      <c r="A155" s="376" t="s">
        <v>94</v>
      </c>
      <c r="B155" s="377"/>
      <c r="C155" s="377"/>
      <c r="D155" s="377"/>
      <c r="E155" s="377"/>
      <c r="F155" s="377"/>
      <c r="G155" s="377"/>
      <c r="H155" s="377"/>
      <c r="I155" s="377"/>
      <c r="J155" s="377"/>
      <c r="K155" s="377"/>
      <c r="L155" s="378"/>
    </row>
    <row r="156" spans="1:12" ht="19.5" customHeight="1">
      <c r="A156" s="72" t="s">
        <v>148</v>
      </c>
      <c r="B156" s="379" t="s">
        <v>145</v>
      </c>
      <c r="C156" s="380"/>
      <c r="D156" s="380"/>
      <c r="E156" s="380"/>
      <c r="F156" s="380"/>
      <c r="G156" s="380"/>
      <c r="H156" s="380"/>
      <c r="I156" s="380"/>
      <c r="J156" s="380"/>
      <c r="K156" s="380"/>
      <c r="L156" s="381"/>
    </row>
    <row r="157" spans="1:12" ht="19.5" customHeight="1">
      <c r="A157" s="72" t="s">
        <v>147</v>
      </c>
      <c r="B157" s="379" t="s">
        <v>146</v>
      </c>
      <c r="C157" s="380"/>
      <c r="D157" s="380"/>
      <c r="E157" s="380"/>
      <c r="F157" s="380"/>
      <c r="G157" s="380"/>
      <c r="H157" s="380"/>
      <c r="I157" s="380"/>
      <c r="J157" s="380"/>
      <c r="K157" s="380"/>
      <c r="L157" s="381"/>
    </row>
    <row r="158" spans="1:12" ht="19.5" customHeight="1">
      <c r="A158" s="191"/>
      <c r="B158" s="191" t="s">
        <v>47</v>
      </c>
      <c r="C158" s="191"/>
      <c r="D158" s="191"/>
      <c r="E158" s="191"/>
      <c r="F158" s="191"/>
      <c r="G158" s="191"/>
      <c r="H158" s="191"/>
      <c r="I158" s="191"/>
      <c r="J158" s="191"/>
      <c r="K158" s="191"/>
      <c r="L158" s="368" t="s">
        <v>295</v>
      </c>
    </row>
    <row r="159" spans="1:12" ht="19.5" customHeight="1">
      <c r="A159" s="304" t="s">
        <v>58</v>
      </c>
      <c r="B159" s="307" t="s">
        <v>179</v>
      </c>
      <c r="C159" s="358">
        <v>2017</v>
      </c>
      <c r="D159" s="173">
        <f>I159</f>
        <v>787.715</v>
      </c>
      <c r="E159" s="173">
        <v>0</v>
      </c>
      <c r="F159" s="173"/>
      <c r="G159" s="173"/>
      <c r="H159" s="173">
        <v>0</v>
      </c>
      <c r="I159" s="173">
        <v>787.715</v>
      </c>
      <c r="J159" s="191"/>
      <c r="K159" s="191" t="s">
        <v>172</v>
      </c>
      <c r="L159" s="369"/>
    </row>
    <row r="160" spans="1:12" ht="19.5" customHeight="1">
      <c r="A160" s="305"/>
      <c r="B160" s="308"/>
      <c r="C160" s="358"/>
      <c r="D160" s="35">
        <f>I160</f>
        <v>33.923</v>
      </c>
      <c r="E160" s="35">
        <v>0</v>
      </c>
      <c r="F160" s="35"/>
      <c r="G160" s="35"/>
      <c r="H160" s="35">
        <v>0</v>
      </c>
      <c r="I160" s="35">
        <v>33.923</v>
      </c>
      <c r="J160" s="191"/>
      <c r="K160" s="191" t="s">
        <v>54</v>
      </c>
      <c r="L160" s="369"/>
    </row>
    <row r="161" spans="1:12" ht="19.5" customHeight="1">
      <c r="A161" s="305"/>
      <c r="B161" s="308"/>
      <c r="C161" s="190">
        <v>2018</v>
      </c>
      <c r="D161" s="35">
        <f>I161</f>
        <v>0</v>
      </c>
      <c r="E161" s="35">
        <v>0</v>
      </c>
      <c r="F161" s="35"/>
      <c r="G161" s="35"/>
      <c r="H161" s="35">
        <v>0</v>
      </c>
      <c r="I161" s="35">
        <v>0</v>
      </c>
      <c r="J161" s="191"/>
      <c r="K161" s="191"/>
      <c r="L161" s="369"/>
    </row>
    <row r="162" spans="1:12" ht="19.5" customHeight="1">
      <c r="A162" s="305"/>
      <c r="B162" s="308"/>
      <c r="C162" s="68">
        <v>2019</v>
      </c>
      <c r="D162" s="69">
        <f>I162</f>
        <v>0</v>
      </c>
      <c r="E162" s="69">
        <v>0</v>
      </c>
      <c r="F162" s="69"/>
      <c r="G162" s="69"/>
      <c r="H162" s="69">
        <v>0</v>
      </c>
      <c r="I162" s="69">
        <v>0</v>
      </c>
      <c r="J162" s="70"/>
      <c r="K162" s="191"/>
      <c r="L162" s="369"/>
    </row>
    <row r="163" spans="1:12" ht="19.5" customHeight="1">
      <c r="A163" s="305"/>
      <c r="B163" s="308"/>
      <c r="C163" s="190">
        <v>2020</v>
      </c>
      <c r="D163" s="35">
        <f>J163</f>
        <v>0</v>
      </c>
      <c r="E163" s="35">
        <v>0</v>
      </c>
      <c r="F163" s="35"/>
      <c r="G163" s="35"/>
      <c r="H163" s="40">
        <v>0</v>
      </c>
      <c r="I163" s="40">
        <v>0</v>
      </c>
      <c r="J163" s="36"/>
      <c r="K163" s="193"/>
      <c r="L163" s="369"/>
    </row>
    <row r="164" spans="1:12" ht="19.5" customHeight="1">
      <c r="A164" s="305"/>
      <c r="B164" s="308"/>
      <c r="C164" s="190">
        <v>2021</v>
      </c>
      <c r="D164" s="35">
        <v>0</v>
      </c>
      <c r="E164" s="35">
        <v>0</v>
      </c>
      <c r="F164" s="35"/>
      <c r="G164" s="35"/>
      <c r="H164" s="40">
        <v>0</v>
      </c>
      <c r="I164" s="40">
        <v>0</v>
      </c>
      <c r="J164" s="36"/>
      <c r="K164" s="193"/>
      <c r="L164" s="369"/>
    </row>
    <row r="165" spans="1:12" ht="19.5" customHeight="1">
      <c r="A165" s="305"/>
      <c r="B165" s="308"/>
      <c r="C165" s="190">
        <v>2022</v>
      </c>
      <c r="D165" s="35">
        <v>0</v>
      </c>
      <c r="E165" s="35">
        <v>0</v>
      </c>
      <c r="F165" s="35"/>
      <c r="G165" s="35"/>
      <c r="H165" s="40">
        <v>0</v>
      </c>
      <c r="I165" s="40">
        <v>0</v>
      </c>
      <c r="J165" s="36"/>
      <c r="K165" s="193"/>
      <c r="L165" s="369"/>
    </row>
    <row r="166" spans="1:12" ht="19.5" customHeight="1">
      <c r="A166" s="306"/>
      <c r="B166" s="309"/>
      <c r="C166" s="190">
        <v>2023</v>
      </c>
      <c r="D166" s="35">
        <f>I166</f>
        <v>0</v>
      </c>
      <c r="E166" s="35"/>
      <c r="F166" s="35"/>
      <c r="G166" s="35"/>
      <c r="H166" s="40"/>
      <c r="I166" s="40">
        <v>0</v>
      </c>
      <c r="J166" s="36"/>
      <c r="K166" s="193"/>
      <c r="L166" s="369"/>
    </row>
    <row r="167" spans="1:12" ht="19.5" customHeight="1">
      <c r="A167" s="304" t="s">
        <v>59</v>
      </c>
      <c r="B167" s="307" t="s">
        <v>180</v>
      </c>
      <c r="C167" s="190">
        <v>2017</v>
      </c>
      <c r="D167" s="173">
        <f aca="true" t="shared" si="2" ref="D167:D196">I167</f>
        <v>1349.864</v>
      </c>
      <c r="E167" s="173">
        <v>0</v>
      </c>
      <c r="F167" s="173"/>
      <c r="G167" s="173"/>
      <c r="H167" s="41">
        <v>0</v>
      </c>
      <c r="I167" s="41">
        <v>1349.864</v>
      </c>
      <c r="J167" s="36"/>
      <c r="K167" s="193" t="s">
        <v>49</v>
      </c>
      <c r="L167" s="369"/>
    </row>
    <row r="168" spans="1:12" ht="19.5" customHeight="1">
      <c r="A168" s="305"/>
      <c r="B168" s="308"/>
      <c r="C168" s="190">
        <v>2018</v>
      </c>
      <c r="D168" s="173">
        <f t="shared" si="2"/>
        <v>0</v>
      </c>
      <c r="E168" s="173">
        <v>0</v>
      </c>
      <c r="F168" s="173"/>
      <c r="G168" s="173"/>
      <c r="H168" s="41">
        <v>0</v>
      </c>
      <c r="I168" s="41">
        <v>0</v>
      </c>
      <c r="J168" s="36"/>
      <c r="K168" s="193"/>
      <c r="L168" s="369"/>
    </row>
    <row r="169" spans="1:12" ht="19.5" customHeight="1">
      <c r="A169" s="305"/>
      <c r="B169" s="308"/>
      <c r="C169" s="68">
        <v>2019</v>
      </c>
      <c r="D169" s="173">
        <f t="shared" si="2"/>
        <v>0</v>
      </c>
      <c r="E169" s="173">
        <v>0</v>
      </c>
      <c r="F169" s="173"/>
      <c r="G169" s="173"/>
      <c r="H169" s="41">
        <v>0</v>
      </c>
      <c r="I169" s="41">
        <v>0</v>
      </c>
      <c r="J169" s="36"/>
      <c r="K169" s="193"/>
      <c r="L169" s="369"/>
    </row>
    <row r="170" spans="1:12" ht="19.5" customHeight="1">
      <c r="A170" s="305"/>
      <c r="B170" s="308"/>
      <c r="C170" s="190">
        <v>2020</v>
      </c>
      <c r="D170" s="173">
        <f t="shared" si="2"/>
        <v>0</v>
      </c>
      <c r="E170" s="173">
        <v>0</v>
      </c>
      <c r="F170" s="173"/>
      <c r="G170" s="173"/>
      <c r="H170" s="41">
        <v>0</v>
      </c>
      <c r="I170" s="41">
        <v>0</v>
      </c>
      <c r="J170" s="36"/>
      <c r="K170" s="193"/>
      <c r="L170" s="369"/>
    </row>
    <row r="171" spans="1:12" ht="19.5" customHeight="1">
      <c r="A171" s="305"/>
      <c r="B171" s="308"/>
      <c r="C171" s="190">
        <v>2021</v>
      </c>
      <c r="D171" s="173">
        <v>0</v>
      </c>
      <c r="E171" s="173">
        <v>0</v>
      </c>
      <c r="F171" s="173"/>
      <c r="G171" s="173"/>
      <c r="H171" s="41">
        <v>0</v>
      </c>
      <c r="I171" s="41">
        <v>0</v>
      </c>
      <c r="J171" s="36"/>
      <c r="K171" s="193"/>
      <c r="L171" s="369"/>
    </row>
    <row r="172" spans="1:12" ht="19.5" customHeight="1">
      <c r="A172" s="305"/>
      <c r="B172" s="308"/>
      <c r="C172" s="190">
        <v>2022</v>
      </c>
      <c r="D172" s="173">
        <v>0</v>
      </c>
      <c r="E172" s="173">
        <v>0</v>
      </c>
      <c r="F172" s="173"/>
      <c r="G172" s="173"/>
      <c r="H172" s="41">
        <v>0</v>
      </c>
      <c r="I172" s="41">
        <v>0</v>
      </c>
      <c r="J172" s="36"/>
      <c r="K172" s="193"/>
      <c r="L172" s="369"/>
    </row>
    <row r="173" spans="1:12" ht="19.5" customHeight="1">
      <c r="A173" s="306"/>
      <c r="B173" s="309"/>
      <c r="C173" s="190">
        <v>2023</v>
      </c>
      <c r="D173" s="173">
        <f>I173</f>
        <v>0</v>
      </c>
      <c r="E173" s="173"/>
      <c r="F173" s="173"/>
      <c r="G173" s="173"/>
      <c r="H173" s="41"/>
      <c r="I173" s="41">
        <v>0</v>
      </c>
      <c r="J173" s="36"/>
      <c r="K173" s="193"/>
      <c r="L173" s="369"/>
    </row>
    <row r="174" spans="1:12" ht="19.5" customHeight="1">
      <c r="A174" s="304" t="s">
        <v>106</v>
      </c>
      <c r="B174" s="307" t="s">
        <v>181</v>
      </c>
      <c r="C174" s="190">
        <v>2017</v>
      </c>
      <c r="D174" s="173">
        <f t="shared" si="2"/>
        <v>85</v>
      </c>
      <c r="E174" s="173">
        <v>0</v>
      </c>
      <c r="F174" s="173"/>
      <c r="G174" s="173"/>
      <c r="H174" s="41">
        <v>0</v>
      </c>
      <c r="I174" s="41">
        <v>85</v>
      </c>
      <c r="J174" s="36"/>
      <c r="K174" s="193" t="s">
        <v>48</v>
      </c>
      <c r="L174" s="369"/>
    </row>
    <row r="175" spans="1:12" ht="19.5" customHeight="1">
      <c r="A175" s="305"/>
      <c r="B175" s="308"/>
      <c r="C175" s="190">
        <v>2018</v>
      </c>
      <c r="D175" s="173">
        <f t="shared" si="2"/>
        <v>0</v>
      </c>
      <c r="E175" s="173">
        <v>0</v>
      </c>
      <c r="F175" s="173"/>
      <c r="G175" s="173"/>
      <c r="H175" s="41">
        <v>0</v>
      </c>
      <c r="I175" s="41">
        <v>0</v>
      </c>
      <c r="J175" s="36"/>
      <c r="K175" s="193"/>
      <c r="L175" s="369"/>
    </row>
    <row r="176" spans="1:12" ht="19.5" customHeight="1">
      <c r="A176" s="305"/>
      <c r="B176" s="308"/>
      <c r="C176" s="68">
        <v>2019</v>
      </c>
      <c r="D176" s="173">
        <f t="shared" si="2"/>
        <v>0</v>
      </c>
      <c r="E176" s="173">
        <v>0</v>
      </c>
      <c r="F176" s="173"/>
      <c r="G176" s="173"/>
      <c r="H176" s="41">
        <v>0</v>
      </c>
      <c r="I176" s="41">
        <v>0</v>
      </c>
      <c r="J176" s="36"/>
      <c r="K176" s="193"/>
      <c r="L176" s="369"/>
    </row>
    <row r="177" spans="1:12" ht="19.5" customHeight="1">
      <c r="A177" s="305"/>
      <c r="B177" s="308"/>
      <c r="C177" s="190">
        <v>2020</v>
      </c>
      <c r="D177" s="173">
        <f t="shared" si="2"/>
        <v>0</v>
      </c>
      <c r="E177" s="173">
        <v>0</v>
      </c>
      <c r="F177" s="173"/>
      <c r="G177" s="173"/>
      <c r="H177" s="41">
        <v>0</v>
      </c>
      <c r="I177" s="41">
        <v>0</v>
      </c>
      <c r="J177" s="36"/>
      <c r="K177" s="193"/>
      <c r="L177" s="369"/>
    </row>
    <row r="178" spans="1:12" ht="19.5" customHeight="1">
      <c r="A178" s="305"/>
      <c r="B178" s="308"/>
      <c r="C178" s="190">
        <v>2021</v>
      </c>
      <c r="D178" s="173">
        <f>I178</f>
        <v>0</v>
      </c>
      <c r="E178" s="173">
        <v>0</v>
      </c>
      <c r="F178" s="173"/>
      <c r="G178" s="173"/>
      <c r="H178" s="41">
        <v>0</v>
      </c>
      <c r="I178" s="41">
        <v>0</v>
      </c>
      <c r="J178" s="36"/>
      <c r="K178" s="193"/>
      <c r="L178" s="369"/>
    </row>
    <row r="179" spans="1:12" ht="19.5" customHeight="1">
      <c r="A179" s="305"/>
      <c r="B179" s="308"/>
      <c r="C179" s="190">
        <v>2022</v>
      </c>
      <c r="D179" s="173">
        <v>0</v>
      </c>
      <c r="E179" s="173">
        <v>0</v>
      </c>
      <c r="F179" s="173"/>
      <c r="G179" s="173"/>
      <c r="H179" s="41">
        <v>0</v>
      </c>
      <c r="I179" s="41">
        <v>0</v>
      </c>
      <c r="J179" s="36"/>
      <c r="K179" s="193"/>
      <c r="L179" s="369"/>
    </row>
    <row r="180" spans="1:12" ht="19.5" customHeight="1">
      <c r="A180" s="306"/>
      <c r="B180" s="309"/>
      <c r="C180" s="190">
        <v>2023</v>
      </c>
      <c r="D180" s="173">
        <f>I180</f>
        <v>0</v>
      </c>
      <c r="E180" s="173"/>
      <c r="F180" s="173"/>
      <c r="G180" s="173"/>
      <c r="H180" s="41"/>
      <c r="I180" s="41">
        <v>0</v>
      </c>
      <c r="J180" s="36"/>
      <c r="K180" s="193"/>
      <c r="L180" s="369"/>
    </row>
    <row r="181" spans="1:12" ht="19.5" customHeight="1">
      <c r="A181" s="304" t="s">
        <v>107</v>
      </c>
      <c r="B181" s="307" t="s">
        <v>182</v>
      </c>
      <c r="C181" s="358">
        <v>2017</v>
      </c>
      <c r="D181" s="173">
        <f t="shared" si="2"/>
        <v>338.66955</v>
      </c>
      <c r="E181" s="173">
        <v>0</v>
      </c>
      <c r="F181" s="173"/>
      <c r="G181" s="173"/>
      <c r="H181" s="41">
        <v>0</v>
      </c>
      <c r="I181" s="41">
        <v>338.66955</v>
      </c>
      <c r="J181" s="36"/>
      <c r="K181" s="193" t="s">
        <v>48</v>
      </c>
      <c r="L181" s="369"/>
    </row>
    <row r="182" spans="1:12" ht="19.5" customHeight="1">
      <c r="A182" s="305"/>
      <c r="B182" s="308"/>
      <c r="C182" s="358"/>
      <c r="D182" s="173">
        <f t="shared" si="2"/>
        <v>227.89</v>
      </c>
      <c r="E182" s="173">
        <v>0</v>
      </c>
      <c r="F182" s="173"/>
      <c r="G182" s="173"/>
      <c r="H182" s="41">
        <v>0</v>
      </c>
      <c r="I182" s="41">
        <v>227.89</v>
      </c>
      <c r="J182" s="36"/>
      <c r="K182" s="193" t="s">
        <v>163</v>
      </c>
      <c r="L182" s="369"/>
    </row>
    <row r="183" spans="1:12" ht="19.5" customHeight="1">
      <c r="A183" s="305"/>
      <c r="B183" s="308"/>
      <c r="C183" s="190">
        <v>2018</v>
      </c>
      <c r="D183" s="173">
        <f t="shared" si="2"/>
        <v>0</v>
      </c>
      <c r="E183" s="173">
        <v>0</v>
      </c>
      <c r="F183" s="173"/>
      <c r="G183" s="173"/>
      <c r="H183" s="41">
        <v>0</v>
      </c>
      <c r="I183" s="41">
        <v>0</v>
      </c>
      <c r="J183" s="36"/>
      <c r="K183" s="193"/>
      <c r="L183" s="369"/>
    </row>
    <row r="184" spans="1:12" ht="19.5" customHeight="1">
      <c r="A184" s="305"/>
      <c r="B184" s="308"/>
      <c r="C184" s="190">
        <v>2019</v>
      </c>
      <c r="D184" s="173">
        <f t="shared" si="2"/>
        <v>0</v>
      </c>
      <c r="E184" s="173">
        <v>0</v>
      </c>
      <c r="F184" s="173"/>
      <c r="G184" s="173"/>
      <c r="H184" s="41">
        <v>0</v>
      </c>
      <c r="I184" s="41">
        <v>0</v>
      </c>
      <c r="J184" s="36"/>
      <c r="K184" s="193"/>
      <c r="L184" s="369"/>
    </row>
    <row r="185" spans="1:12" ht="19.5" customHeight="1">
      <c r="A185" s="305"/>
      <c r="B185" s="308"/>
      <c r="C185" s="190">
        <v>2020</v>
      </c>
      <c r="D185" s="173">
        <f t="shared" si="2"/>
        <v>0</v>
      </c>
      <c r="E185" s="173">
        <v>0</v>
      </c>
      <c r="F185" s="173"/>
      <c r="G185" s="173"/>
      <c r="H185" s="41">
        <v>0</v>
      </c>
      <c r="I185" s="41">
        <v>0</v>
      </c>
      <c r="J185" s="36"/>
      <c r="K185" s="193"/>
      <c r="L185" s="369"/>
    </row>
    <row r="186" spans="1:12" ht="19.5" customHeight="1">
      <c r="A186" s="305"/>
      <c r="B186" s="308"/>
      <c r="C186" s="190">
        <v>2021</v>
      </c>
      <c r="D186" s="173">
        <v>0</v>
      </c>
      <c r="E186" s="173">
        <v>0</v>
      </c>
      <c r="F186" s="173"/>
      <c r="G186" s="173"/>
      <c r="H186" s="41">
        <v>0</v>
      </c>
      <c r="I186" s="41">
        <v>0</v>
      </c>
      <c r="J186" s="36"/>
      <c r="K186" s="193"/>
      <c r="L186" s="369"/>
    </row>
    <row r="187" spans="1:12" ht="19.5" customHeight="1">
      <c r="A187" s="305"/>
      <c r="B187" s="308"/>
      <c r="C187" s="190">
        <v>2022</v>
      </c>
      <c r="D187" s="173">
        <v>0</v>
      </c>
      <c r="E187" s="173">
        <v>0</v>
      </c>
      <c r="F187" s="173"/>
      <c r="G187" s="173"/>
      <c r="H187" s="41">
        <v>0</v>
      </c>
      <c r="I187" s="41">
        <v>0</v>
      </c>
      <c r="J187" s="36"/>
      <c r="K187" s="193"/>
      <c r="L187" s="369"/>
    </row>
    <row r="188" spans="1:12" ht="19.5" customHeight="1">
      <c r="A188" s="306"/>
      <c r="B188" s="309"/>
      <c r="C188" s="190">
        <v>2023</v>
      </c>
      <c r="D188" s="173">
        <f>I188</f>
        <v>0</v>
      </c>
      <c r="E188" s="173">
        <v>0</v>
      </c>
      <c r="F188" s="173"/>
      <c r="G188" s="173"/>
      <c r="H188" s="41">
        <v>0</v>
      </c>
      <c r="I188" s="41">
        <v>0</v>
      </c>
      <c r="J188" s="36"/>
      <c r="K188" s="193"/>
      <c r="L188" s="369"/>
    </row>
    <row r="189" spans="1:12" ht="19.5" customHeight="1">
      <c r="A189" s="304" t="s">
        <v>108</v>
      </c>
      <c r="B189" s="307" t="s">
        <v>183</v>
      </c>
      <c r="C189" s="190">
        <v>2017</v>
      </c>
      <c r="D189" s="173">
        <f t="shared" si="2"/>
        <v>464</v>
      </c>
      <c r="E189" s="173">
        <v>0</v>
      </c>
      <c r="F189" s="173"/>
      <c r="G189" s="173"/>
      <c r="H189" s="41">
        <v>0</v>
      </c>
      <c r="I189" s="41">
        <v>464</v>
      </c>
      <c r="J189" s="36"/>
      <c r="K189" s="193" t="s">
        <v>55</v>
      </c>
      <c r="L189" s="369"/>
    </row>
    <row r="190" spans="1:12" ht="19.5" customHeight="1">
      <c r="A190" s="305"/>
      <c r="B190" s="308"/>
      <c r="C190" s="190">
        <v>2018</v>
      </c>
      <c r="D190" s="173">
        <f t="shared" si="2"/>
        <v>0</v>
      </c>
      <c r="E190" s="173">
        <v>0</v>
      </c>
      <c r="F190" s="173"/>
      <c r="G190" s="173"/>
      <c r="H190" s="41">
        <v>0</v>
      </c>
      <c r="I190" s="41">
        <v>0</v>
      </c>
      <c r="J190" s="36"/>
      <c r="K190" s="193"/>
      <c r="L190" s="369"/>
    </row>
    <row r="191" spans="1:12" ht="19.5" customHeight="1">
      <c r="A191" s="305"/>
      <c r="B191" s="308"/>
      <c r="C191" s="190">
        <v>2019</v>
      </c>
      <c r="D191" s="173">
        <f t="shared" si="2"/>
        <v>0</v>
      </c>
      <c r="E191" s="173">
        <v>0</v>
      </c>
      <c r="F191" s="173"/>
      <c r="G191" s="173"/>
      <c r="H191" s="41">
        <v>0</v>
      </c>
      <c r="I191" s="41">
        <v>0</v>
      </c>
      <c r="J191" s="36"/>
      <c r="K191" s="193"/>
      <c r="L191" s="369"/>
    </row>
    <row r="192" spans="1:12" ht="19.5" customHeight="1">
      <c r="A192" s="305"/>
      <c r="B192" s="308"/>
      <c r="C192" s="190">
        <v>2020</v>
      </c>
      <c r="D192" s="173">
        <f t="shared" si="2"/>
        <v>0</v>
      </c>
      <c r="E192" s="173">
        <v>0</v>
      </c>
      <c r="F192" s="173"/>
      <c r="G192" s="173"/>
      <c r="H192" s="41">
        <v>0</v>
      </c>
      <c r="I192" s="41">
        <v>0</v>
      </c>
      <c r="J192" s="36"/>
      <c r="K192" s="193"/>
      <c r="L192" s="369"/>
    </row>
    <row r="193" spans="1:12" ht="19.5" customHeight="1">
      <c r="A193" s="305"/>
      <c r="B193" s="308"/>
      <c r="C193" s="190">
        <v>2021</v>
      </c>
      <c r="D193" s="173">
        <v>0</v>
      </c>
      <c r="E193" s="173">
        <v>0</v>
      </c>
      <c r="F193" s="173"/>
      <c r="G193" s="173"/>
      <c r="H193" s="41">
        <v>0</v>
      </c>
      <c r="I193" s="41">
        <v>0</v>
      </c>
      <c r="J193" s="36"/>
      <c r="K193" s="193"/>
      <c r="L193" s="369"/>
    </row>
    <row r="194" spans="1:12" ht="19.5" customHeight="1">
      <c r="A194" s="305"/>
      <c r="B194" s="308"/>
      <c r="C194" s="190">
        <v>2022</v>
      </c>
      <c r="D194" s="173">
        <v>0</v>
      </c>
      <c r="E194" s="173">
        <v>0</v>
      </c>
      <c r="F194" s="173"/>
      <c r="G194" s="173"/>
      <c r="H194" s="41">
        <v>0</v>
      </c>
      <c r="I194" s="41">
        <v>0</v>
      </c>
      <c r="J194" s="36"/>
      <c r="K194" s="193"/>
      <c r="L194" s="369"/>
    </row>
    <row r="195" spans="1:12" ht="19.5" customHeight="1">
      <c r="A195" s="306"/>
      <c r="B195" s="309"/>
      <c r="C195" s="190">
        <v>2023</v>
      </c>
      <c r="D195" s="173">
        <f>I1881</f>
        <v>0</v>
      </c>
      <c r="E195" s="173">
        <v>0</v>
      </c>
      <c r="F195" s="173"/>
      <c r="G195" s="173"/>
      <c r="H195" s="41">
        <v>0</v>
      </c>
      <c r="I195" s="41">
        <v>0</v>
      </c>
      <c r="J195" s="36"/>
      <c r="K195" s="193"/>
      <c r="L195" s="369"/>
    </row>
    <row r="196" spans="1:12" s="14" customFormat="1" ht="19.5" customHeight="1">
      <c r="A196" s="304" t="s">
        <v>173</v>
      </c>
      <c r="B196" s="307" t="s">
        <v>166</v>
      </c>
      <c r="C196" s="190">
        <v>2017</v>
      </c>
      <c r="D196" s="173">
        <f t="shared" si="2"/>
        <v>0</v>
      </c>
      <c r="E196" s="173">
        <v>0</v>
      </c>
      <c r="F196" s="173"/>
      <c r="G196" s="173"/>
      <c r="H196" s="41">
        <v>0</v>
      </c>
      <c r="I196" s="41">
        <v>0</v>
      </c>
      <c r="J196" s="36"/>
      <c r="K196" s="193"/>
      <c r="L196" s="369"/>
    </row>
    <row r="197" spans="1:12" s="14" customFormat="1" ht="19.5" customHeight="1">
      <c r="A197" s="305"/>
      <c r="B197" s="374"/>
      <c r="C197" s="188">
        <v>2018</v>
      </c>
      <c r="D197" s="102">
        <f>I197</f>
        <v>195</v>
      </c>
      <c r="E197" s="102">
        <v>0</v>
      </c>
      <c r="F197" s="102"/>
      <c r="G197" s="102"/>
      <c r="H197" s="102">
        <v>0</v>
      </c>
      <c r="I197" s="102">
        <f>200-5</f>
        <v>195</v>
      </c>
      <c r="J197" s="36"/>
      <c r="K197" s="191" t="s">
        <v>167</v>
      </c>
      <c r="L197" s="369"/>
    </row>
    <row r="198" spans="1:12" s="14" customFormat="1" ht="19.5" customHeight="1">
      <c r="A198" s="305"/>
      <c r="B198" s="374"/>
      <c r="C198" s="188">
        <v>2019</v>
      </c>
      <c r="D198" s="102">
        <f>I198</f>
        <v>0</v>
      </c>
      <c r="E198" s="102">
        <v>0</v>
      </c>
      <c r="F198" s="102"/>
      <c r="G198" s="102"/>
      <c r="H198" s="102">
        <v>0</v>
      </c>
      <c r="I198" s="102">
        <v>0</v>
      </c>
      <c r="J198" s="36"/>
      <c r="K198" s="191"/>
      <c r="L198" s="369"/>
    </row>
    <row r="199" spans="1:12" s="14" customFormat="1" ht="19.5" customHeight="1">
      <c r="A199" s="305"/>
      <c r="B199" s="374"/>
      <c r="C199" s="188">
        <v>2020</v>
      </c>
      <c r="D199" s="102">
        <f>SUM(E199:I199)</f>
        <v>0</v>
      </c>
      <c r="E199" s="102">
        <v>0</v>
      </c>
      <c r="F199" s="102"/>
      <c r="G199" s="102"/>
      <c r="H199" s="102">
        <v>0</v>
      </c>
      <c r="I199" s="102">
        <v>0</v>
      </c>
      <c r="J199" s="36"/>
      <c r="K199" s="191"/>
      <c r="L199" s="369"/>
    </row>
    <row r="200" spans="1:12" s="14" customFormat="1" ht="19.5" customHeight="1">
      <c r="A200" s="305"/>
      <c r="B200" s="374"/>
      <c r="C200" s="188">
        <v>2021</v>
      </c>
      <c r="D200" s="102">
        <v>0</v>
      </c>
      <c r="E200" s="102">
        <v>0</v>
      </c>
      <c r="F200" s="102"/>
      <c r="G200" s="102"/>
      <c r="H200" s="102">
        <v>0</v>
      </c>
      <c r="I200" s="102">
        <v>0</v>
      </c>
      <c r="J200" s="36"/>
      <c r="K200" s="191"/>
      <c r="L200" s="369"/>
    </row>
    <row r="201" spans="1:12" s="14" customFormat="1" ht="19.5" customHeight="1">
      <c r="A201" s="305"/>
      <c r="B201" s="374"/>
      <c r="C201" s="188">
        <v>2022</v>
      </c>
      <c r="D201" s="102">
        <v>0</v>
      </c>
      <c r="E201" s="102">
        <v>0</v>
      </c>
      <c r="F201" s="102"/>
      <c r="G201" s="102"/>
      <c r="H201" s="102">
        <v>0</v>
      </c>
      <c r="I201" s="102">
        <v>0</v>
      </c>
      <c r="J201" s="36"/>
      <c r="K201" s="191"/>
      <c r="L201" s="369"/>
    </row>
    <row r="202" spans="1:12" s="14" customFormat="1" ht="19.5" customHeight="1">
      <c r="A202" s="306"/>
      <c r="B202" s="375"/>
      <c r="C202" s="188">
        <v>2023</v>
      </c>
      <c r="D202" s="102">
        <f>I202</f>
        <v>0</v>
      </c>
      <c r="E202" s="102"/>
      <c r="F202" s="102"/>
      <c r="G202" s="102"/>
      <c r="H202" s="102"/>
      <c r="I202" s="102">
        <v>0</v>
      </c>
      <c r="J202" s="36"/>
      <c r="K202" s="191"/>
      <c r="L202" s="369"/>
    </row>
    <row r="203" spans="1:12" s="14" customFormat="1" ht="19.5" customHeight="1">
      <c r="A203" s="304" t="s">
        <v>174</v>
      </c>
      <c r="B203" s="307" t="s">
        <v>184</v>
      </c>
      <c r="C203" s="188">
        <v>2017</v>
      </c>
      <c r="D203" s="102">
        <f>I203</f>
        <v>0</v>
      </c>
      <c r="E203" s="102">
        <v>0</v>
      </c>
      <c r="F203" s="102"/>
      <c r="G203" s="102"/>
      <c r="H203" s="102">
        <v>0</v>
      </c>
      <c r="I203" s="102">
        <v>0</v>
      </c>
      <c r="J203" s="36"/>
      <c r="K203" s="191"/>
      <c r="L203" s="369"/>
    </row>
    <row r="204" spans="1:12" s="14" customFormat="1" ht="19.5" customHeight="1">
      <c r="A204" s="305"/>
      <c r="B204" s="308"/>
      <c r="C204" s="188">
        <v>2018</v>
      </c>
      <c r="D204" s="102">
        <f>I204</f>
        <v>1995.79</v>
      </c>
      <c r="E204" s="102">
        <v>0</v>
      </c>
      <c r="F204" s="102"/>
      <c r="G204" s="102"/>
      <c r="H204" s="102">
        <v>0</v>
      </c>
      <c r="I204" s="102">
        <f>1995.79</f>
        <v>1995.79</v>
      </c>
      <c r="J204" s="36"/>
      <c r="K204" s="365" t="s">
        <v>48</v>
      </c>
      <c r="L204" s="369"/>
    </row>
    <row r="205" spans="1:12" s="14" customFormat="1" ht="19.5" customHeight="1">
      <c r="A205" s="305"/>
      <c r="B205" s="308"/>
      <c r="C205" s="188">
        <v>2019</v>
      </c>
      <c r="D205" s="102">
        <f>E205+H205+I205</f>
        <v>0</v>
      </c>
      <c r="E205" s="102">
        <v>0</v>
      </c>
      <c r="F205" s="102"/>
      <c r="G205" s="102"/>
      <c r="H205" s="102">
        <v>0</v>
      </c>
      <c r="I205" s="102">
        <v>0</v>
      </c>
      <c r="J205" s="36"/>
      <c r="K205" s="365"/>
      <c r="L205" s="369"/>
    </row>
    <row r="206" spans="1:12" s="14" customFormat="1" ht="19.5" customHeight="1">
      <c r="A206" s="305"/>
      <c r="B206" s="308"/>
      <c r="C206" s="188">
        <v>2020</v>
      </c>
      <c r="D206" s="102">
        <f>SUM(E206:I206)</f>
        <v>0</v>
      </c>
      <c r="E206" s="102">
        <v>0</v>
      </c>
      <c r="F206" s="102"/>
      <c r="G206" s="102"/>
      <c r="H206" s="102">
        <v>0</v>
      </c>
      <c r="I206" s="102">
        <v>0</v>
      </c>
      <c r="J206" s="36"/>
      <c r="K206" s="365"/>
      <c r="L206" s="369"/>
    </row>
    <row r="207" spans="1:12" s="14" customFormat="1" ht="19.5" customHeight="1">
      <c r="A207" s="305"/>
      <c r="B207" s="308"/>
      <c r="C207" s="188">
        <v>2021</v>
      </c>
      <c r="D207" s="102">
        <v>0</v>
      </c>
      <c r="E207" s="102">
        <v>0</v>
      </c>
      <c r="F207" s="102"/>
      <c r="G207" s="102"/>
      <c r="H207" s="102">
        <v>0</v>
      </c>
      <c r="I207" s="102">
        <v>0</v>
      </c>
      <c r="J207" s="36"/>
      <c r="K207" s="193"/>
      <c r="L207" s="369"/>
    </row>
    <row r="208" spans="1:12" s="14" customFormat="1" ht="19.5" customHeight="1">
      <c r="A208" s="305"/>
      <c r="B208" s="308"/>
      <c r="C208" s="188">
        <v>2022</v>
      </c>
      <c r="D208" s="102">
        <v>0</v>
      </c>
      <c r="E208" s="102">
        <v>0</v>
      </c>
      <c r="F208" s="102"/>
      <c r="G208" s="102"/>
      <c r="H208" s="102">
        <v>0</v>
      </c>
      <c r="I208" s="102">
        <v>0</v>
      </c>
      <c r="J208" s="36"/>
      <c r="K208" s="193"/>
      <c r="L208" s="369"/>
    </row>
    <row r="209" spans="1:12" s="14" customFormat="1" ht="19.5" customHeight="1">
      <c r="A209" s="306"/>
      <c r="B209" s="309"/>
      <c r="C209" s="188">
        <v>2023</v>
      </c>
      <c r="D209" s="102">
        <f>I209</f>
        <v>0</v>
      </c>
      <c r="E209" s="102"/>
      <c r="F209" s="102"/>
      <c r="G209" s="102"/>
      <c r="H209" s="102"/>
      <c r="I209" s="102"/>
      <c r="J209" s="36"/>
      <c r="K209" s="193"/>
      <c r="L209" s="369"/>
    </row>
    <row r="210" spans="1:12" s="14" customFormat="1" ht="19.5" customHeight="1">
      <c r="A210" s="304" t="s">
        <v>175</v>
      </c>
      <c r="B210" s="307" t="s">
        <v>234</v>
      </c>
      <c r="C210" s="188">
        <v>2017</v>
      </c>
      <c r="D210" s="102">
        <f>I210</f>
        <v>0</v>
      </c>
      <c r="E210" s="102">
        <v>0</v>
      </c>
      <c r="F210" s="102"/>
      <c r="G210" s="102"/>
      <c r="H210" s="102">
        <v>0</v>
      </c>
      <c r="I210" s="102">
        <v>0</v>
      </c>
      <c r="J210" s="36"/>
      <c r="K210" s="193"/>
      <c r="L210" s="369"/>
    </row>
    <row r="211" spans="1:12" s="14" customFormat="1" ht="19.5" customHeight="1">
      <c r="A211" s="305"/>
      <c r="B211" s="308"/>
      <c r="C211" s="188">
        <v>2018</v>
      </c>
      <c r="D211" s="102">
        <f>I211</f>
        <v>430.48148</v>
      </c>
      <c r="E211" s="102">
        <v>0</v>
      </c>
      <c r="F211" s="102"/>
      <c r="G211" s="102"/>
      <c r="H211" s="102">
        <v>0</v>
      </c>
      <c r="I211" s="102">
        <v>430.48148</v>
      </c>
      <c r="J211" s="36"/>
      <c r="K211" s="382" t="s">
        <v>48</v>
      </c>
      <c r="L211" s="369"/>
    </row>
    <row r="212" spans="1:12" s="14" customFormat="1" ht="19.5" customHeight="1">
      <c r="A212" s="305"/>
      <c r="B212" s="308"/>
      <c r="C212" s="188">
        <v>2019</v>
      </c>
      <c r="D212" s="102">
        <f>I212+H212+E212</f>
        <v>19.10327</v>
      </c>
      <c r="E212" s="102">
        <v>0</v>
      </c>
      <c r="F212" s="102"/>
      <c r="G212" s="102"/>
      <c r="H212" s="102">
        <v>0</v>
      </c>
      <c r="I212" s="102">
        <v>19.10327</v>
      </c>
      <c r="J212" s="36"/>
      <c r="K212" s="383"/>
      <c r="L212" s="369"/>
    </row>
    <row r="213" spans="1:12" s="14" customFormat="1" ht="19.5" customHeight="1">
      <c r="A213" s="305"/>
      <c r="B213" s="308"/>
      <c r="C213" s="188">
        <v>2020</v>
      </c>
      <c r="D213" s="102">
        <f>I213+H213+E213</f>
        <v>0</v>
      </c>
      <c r="E213" s="102">
        <v>0</v>
      </c>
      <c r="F213" s="102"/>
      <c r="G213" s="102"/>
      <c r="H213" s="102">
        <v>0</v>
      </c>
      <c r="I213" s="102">
        <v>0</v>
      </c>
      <c r="J213" s="36"/>
      <c r="K213" s="383"/>
      <c r="L213" s="369"/>
    </row>
    <row r="214" spans="1:12" s="14" customFormat="1" ht="19.5" customHeight="1">
      <c r="A214" s="305"/>
      <c r="B214" s="308"/>
      <c r="C214" s="188">
        <v>2021</v>
      </c>
      <c r="D214" s="102">
        <v>0</v>
      </c>
      <c r="E214" s="102">
        <v>0</v>
      </c>
      <c r="F214" s="102"/>
      <c r="G214" s="102"/>
      <c r="H214" s="102">
        <v>0</v>
      </c>
      <c r="I214" s="102">
        <v>0</v>
      </c>
      <c r="J214" s="36"/>
      <c r="K214" s="383"/>
      <c r="L214" s="369"/>
    </row>
    <row r="215" spans="1:12" s="14" customFormat="1" ht="19.5" customHeight="1">
      <c r="A215" s="305"/>
      <c r="B215" s="308"/>
      <c r="C215" s="188">
        <v>2022</v>
      </c>
      <c r="D215" s="102">
        <f>I215+H215+E215</f>
        <v>0</v>
      </c>
      <c r="E215" s="102">
        <v>0</v>
      </c>
      <c r="F215" s="102"/>
      <c r="G215" s="102"/>
      <c r="H215" s="102">
        <v>0</v>
      </c>
      <c r="I215" s="102">
        <v>0</v>
      </c>
      <c r="J215" s="36"/>
      <c r="K215" s="383"/>
      <c r="L215" s="369"/>
    </row>
    <row r="216" spans="1:12" s="14" customFormat="1" ht="19.5" customHeight="1">
      <c r="A216" s="306"/>
      <c r="B216" s="309"/>
      <c r="C216" s="188">
        <v>2023</v>
      </c>
      <c r="D216" s="102">
        <f>I2058</f>
        <v>0</v>
      </c>
      <c r="E216" s="102"/>
      <c r="F216" s="102"/>
      <c r="G216" s="102"/>
      <c r="H216" s="102"/>
      <c r="I216" s="102">
        <v>0</v>
      </c>
      <c r="J216" s="36"/>
      <c r="K216" s="383"/>
      <c r="L216" s="369"/>
    </row>
    <row r="217" spans="1:12" s="14" customFormat="1" ht="19.5" customHeight="1">
      <c r="A217" s="304" t="s">
        <v>176</v>
      </c>
      <c r="B217" s="307" t="s">
        <v>191</v>
      </c>
      <c r="C217" s="188">
        <v>2017</v>
      </c>
      <c r="D217" s="102">
        <f>I217</f>
        <v>0</v>
      </c>
      <c r="E217" s="102">
        <v>0</v>
      </c>
      <c r="F217" s="102"/>
      <c r="G217" s="102"/>
      <c r="H217" s="102">
        <v>0</v>
      </c>
      <c r="I217" s="102">
        <v>0</v>
      </c>
      <c r="J217" s="36"/>
      <c r="K217" s="384"/>
      <c r="L217" s="369"/>
    </row>
    <row r="218" spans="1:12" s="14" customFormat="1" ht="19.5" customHeight="1">
      <c r="A218" s="305"/>
      <c r="B218" s="308"/>
      <c r="C218" s="188">
        <v>2018</v>
      </c>
      <c r="D218" s="102">
        <f>E218+H218+I218</f>
        <v>99</v>
      </c>
      <c r="E218" s="102">
        <v>0</v>
      </c>
      <c r="F218" s="102"/>
      <c r="G218" s="102"/>
      <c r="H218" s="102">
        <v>0</v>
      </c>
      <c r="I218" s="102">
        <f>700-601</f>
        <v>99</v>
      </c>
      <c r="J218" s="36"/>
      <c r="K218" s="191" t="s">
        <v>48</v>
      </c>
      <c r="L218" s="369"/>
    </row>
    <row r="219" spans="1:12" s="14" customFormat="1" ht="19.5" customHeight="1">
      <c r="A219" s="305"/>
      <c r="B219" s="308"/>
      <c r="C219" s="188">
        <v>2019</v>
      </c>
      <c r="D219" s="102">
        <f>E219+H219+I219</f>
        <v>1466.86667</v>
      </c>
      <c r="E219" s="102">
        <v>0</v>
      </c>
      <c r="F219" s="102"/>
      <c r="G219" s="102"/>
      <c r="H219" s="102">
        <v>0</v>
      </c>
      <c r="I219" s="102">
        <f>1466.86667</f>
        <v>1466.86667</v>
      </c>
      <c r="J219" s="36"/>
      <c r="K219" s="310" t="s">
        <v>48</v>
      </c>
      <c r="L219" s="369"/>
    </row>
    <row r="220" spans="1:12" s="14" customFormat="1" ht="19.5" customHeight="1">
      <c r="A220" s="305"/>
      <c r="B220" s="308"/>
      <c r="C220" s="188">
        <v>2020</v>
      </c>
      <c r="D220" s="102">
        <f>E220+H220+I220</f>
        <v>1466.86667</v>
      </c>
      <c r="E220" s="102">
        <v>0</v>
      </c>
      <c r="F220" s="102"/>
      <c r="G220" s="102"/>
      <c r="H220" s="102">
        <v>0</v>
      </c>
      <c r="I220" s="102">
        <v>1466.86667</v>
      </c>
      <c r="J220" s="36"/>
      <c r="K220" s="312"/>
      <c r="L220" s="369"/>
    </row>
    <row r="221" spans="1:12" s="14" customFormat="1" ht="19.5" customHeight="1">
      <c r="A221" s="305"/>
      <c r="B221" s="308"/>
      <c r="C221" s="188">
        <v>2021</v>
      </c>
      <c r="D221" s="102">
        <v>0</v>
      </c>
      <c r="E221" s="102">
        <v>0</v>
      </c>
      <c r="F221" s="102"/>
      <c r="G221" s="102"/>
      <c r="H221" s="102">
        <v>0</v>
      </c>
      <c r="I221" s="102">
        <v>0</v>
      </c>
      <c r="J221" s="36"/>
      <c r="K221" s="191"/>
      <c r="L221" s="369"/>
    </row>
    <row r="222" spans="1:12" s="14" customFormat="1" ht="19.5" customHeight="1">
      <c r="A222" s="305"/>
      <c r="B222" s="308"/>
      <c r="C222" s="188">
        <v>2022</v>
      </c>
      <c r="D222" s="102">
        <v>0</v>
      </c>
      <c r="E222" s="102">
        <v>0</v>
      </c>
      <c r="F222" s="102"/>
      <c r="G222" s="102"/>
      <c r="H222" s="102">
        <v>0</v>
      </c>
      <c r="I222" s="102">
        <v>0</v>
      </c>
      <c r="J222" s="36"/>
      <c r="K222" s="191"/>
      <c r="L222" s="369"/>
    </row>
    <row r="223" spans="1:12" s="14" customFormat="1" ht="19.5" customHeight="1">
      <c r="A223" s="306"/>
      <c r="B223" s="309"/>
      <c r="C223" s="188">
        <v>2023</v>
      </c>
      <c r="D223" s="102">
        <f>I223</f>
        <v>0</v>
      </c>
      <c r="E223" s="102">
        <v>0</v>
      </c>
      <c r="F223" s="102"/>
      <c r="G223" s="102"/>
      <c r="H223" s="102">
        <v>0</v>
      </c>
      <c r="I223" s="102">
        <v>0</v>
      </c>
      <c r="J223" s="36"/>
      <c r="K223" s="191"/>
      <c r="L223" s="369"/>
    </row>
    <row r="224" spans="1:12" s="14" customFormat="1" ht="19.5" customHeight="1">
      <c r="A224" s="304" t="s">
        <v>177</v>
      </c>
      <c r="B224" s="307" t="s">
        <v>185</v>
      </c>
      <c r="C224" s="188">
        <v>2017</v>
      </c>
      <c r="D224" s="102">
        <f>I224</f>
        <v>0</v>
      </c>
      <c r="E224" s="102">
        <v>0</v>
      </c>
      <c r="F224" s="102"/>
      <c r="G224" s="102"/>
      <c r="H224" s="102">
        <v>0</v>
      </c>
      <c r="I224" s="102">
        <v>0</v>
      </c>
      <c r="J224" s="36"/>
      <c r="K224" s="191"/>
      <c r="L224" s="369"/>
    </row>
    <row r="225" spans="1:12" s="14" customFormat="1" ht="19.5" customHeight="1">
      <c r="A225" s="305"/>
      <c r="B225" s="308"/>
      <c r="C225" s="188">
        <v>2018</v>
      </c>
      <c r="D225" s="102">
        <f>SUM(E225:I225)</f>
        <v>0</v>
      </c>
      <c r="E225" s="102">
        <v>0</v>
      </c>
      <c r="F225" s="102"/>
      <c r="G225" s="102"/>
      <c r="H225" s="102">
        <v>0</v>
      </c>
      <c r="I225" s="102">
        <v>0</v>
      </c>
      <c r="J225" s="36"/>
      <c r="K225" s="364" t="s">
        <v>48</v>
      </c>
      <c r="L225" s="369"/>
    </row>
    <row r="226" spans="1:12" s="14" customFormat="1" ht="19.5" customHeight="1">
      <c r="A226" s="305"/>
      <c r="B226" s="308"/>
      <c r="C226" s="188">
        <v>2019</v>
      </c>
      <c r="D226" s="102">
        <f>SUM(E226:I226)</f>
        <v>0</v>
      </c>
      <c r="E226" s="102">
        <v>0</v>
      </c>
      <c r="F226" s="102"/>
      <c r="G226" s="102"/>
      <c r="H226" s="102">
        <v>0</v>
      </c>
      <c r="I226" s="102">
        <v>0</v>
      </c>
      <c r="J226" s="36"/>
      <c r="K226" s="364"/>
      <c r="L226" s="369"/>
    </row>
    <row r="227" spans="1:12" s="14" customFormat="1" ht="19.5" customHeight="1">
      <c r="A227" s="305"/>
      <c r="B227" s="308"/>
      <c r="C227" s="188">
        <v>2020</v>
      </c>
      <c r="D227" s="102">
        <f>SUM(E227:I227)</f>
        <v>0</v>
      </c>
      <c r="E227" s="102">
        <v>0</v>
      </c>
      <c r="F227" s="102"/>
      <c r="G227" s="102"/>
      <c r="H227" s="102">
        <v>0</v>
      </c>
      <c r="I227" s="102">
        <v>0</v>
      </c>
      <c r="J227" s="36"/>
      <c r="K227" s="364"/>
      <c r="L227" s="369"/>
    </row>
    <row r="228" spans="1:12" s="14" customFormat="1" ht="19.5" customHeight="1">
      <c r="A228" s="305"/>
      <c r="B228" s="308"/>
      <c r="C228" s="188">
        <v>2021</v>
      </c>
      <c r="D228" s="102">
        <v>0</v>
      </c>
      <c r="E228" s="102">
        <v>0</v>
      </c>
      <c r="F228" s="102"/>
      <c r="G228" s="102"/>
      <c r="H228" s="102">
        <v>0</v>
      </c>
      <c r="I228" s="102">
        <v>0</v>
      </c>
      <c r="J228" s="36"/>
      <c r="K228" s="193"/>
      <c r="L228" s="369"/>
    </row>
    <row r="229" spans="1:12" s="14" customFormat="1" ht="19.5" customHeight="1">
      <c r="A229" s="305"/>
      <c r="B229" s="308"/>
      <c r="C229" s="188">
        <v>2022</v>
      </c>
      <c r="D229" s="102">
        <v>0</v>
      </c>
      <c r="E229" s="102">
        <v>0</v>
      </c>
      <c r="F229" s="102"/>
      <c r="G229" s="102"/>
      <c r="H229" s="102">
        <v>0</v>
      </c>
      <c r="I229" s="102">
        <v>0</v>
      </c>
      <c r="J229" s="36"/>
      <c r="K229" s="193"/>
      <c r="L229" s="369"/>
    </row>
    <row r="230" spans="1:12" s="14" customFormat="1" ht="19.5" customHeight="1">
      <c r="A230" s="306"/>
      <c r="B230" s="309"/>
      <c r="C230" s="188">
        <v>2023</v>
      </c>
      <c r="D230" s="102">
        <v>0</v>
      </c>
      <c r="E230" s="102"/>
      <c r="F230" s="102"/>
      <c r="G230" s="102"/>
      <c r="H230" s="102"/>
      <c r="I230" s="102">
        <v>0</v>
      </c>
      <c r="J230" s="36"/>
      <c r="K230" s="193"/>
      <c r="L230" s="369"/>
    </row>
    <row r="231" spans="1:12" s="14" customFormat="1" ht="19.5" customHeight="1">
      <c r="A231" s="304" t="s">
        <v>196</v>
      </c>
      <c r="B231" s="297" t="s">
        <v>269</v>
      </c>
      <c r="C231" s="188">
        <v>2017</v>
      </c>
      <c r="D231" s="102">
        <f aca="true" t="shared" si="3" ref="D231:D240">I231</f>
        <v>0</v>
      </c>
      <c r="E231" s="102">
        <v>0</v>
      </c>
      <c r="F231" s="102"/>
      <c r="G231" s="102"/>
      <c r="H231" s="102">
        <v>0</v>
      </c>
      <c r="I231" s="102">
        <v>0</v>
      </c>
      <c r="J231" s="36"/>
      <c r="K231" s="193"/>
      <c r="L231" s="369"/>
    </row>
    <row r="232" spans="1:12" s="14" customFormat="1" ht="19.5" customHeight="1">
      <c r="A232" s="305"/>
      <c r="B232" s="298"/>
      <c r="C232" s="188">
        <v>2018</v>
      </c>
      <c r="D232" s="102">
        <f t="shared" si="3"/>
        <v>210.241</v>
      </c>
      <c r="E232" s="102">
        <v>0</v>
      </c>
      <c r="F232" s="102"/>
      <c r="G232" s="102"/>
      <c r="H232" s="102">
        <v>0</v>
      </c>
      <c r="I232" s="102">
        <v>210.241</v>
      </c>
      <c r="J232" s="36"/>
      <c r="K232" s="193" t="s">
        <v>151</v>
      </c>
      <c r="L232" s="369"/>
    </row>
    <row r="233" spans="1:12" s="14" customFormat="1" ht="19.5" customHeight="1">
      <c r="A233" s="305"/>
      <c r="B233" s="298"/>
      <c r="C233" s="188">
        <v>2018</v>
      </c>
      <c r="D233" s="102">
        <f t="shared" si="3"/>
        <v>312.53700000000003</v>
      </c>
      <c r="E233" s="102">
        <v>0</v>
      </c>
      <c r="F233" s="102"/>
      <c r="G233" s="102"/>
      <c r="H233" s="102">
        <v>0</v>
      </c>
      <c r="I233" s="102">
        <f>240+72.537</f>
        <v>312.53700000000003</v>
      </c>
      <c r="J233" s="36"/>
      <c r="K233" s="193" t="s">
        <v>50</v>
      </c>
      <c r="L233" s="369"/>
    </row>
    <row r="234" spans="1:12" s="14" customFormat="1" ht="19.5" customHeight="1">
      <c r="A234" s="305"/>
      <c r="B234" s="298"/>
      <c r="C234" s="188">
        <v>2018</v>
      </c>
      <c r="D234" s="102">
        <f t="shared" si="3"/>
        <v>150</v>
      </c>
      <c r="E234" s="102">
        <v>0</v>
      </c>
      <c r="F234" s="102"/>
      <c r="G234" s="102"/>
      <c r="H234" s="102">
        <v>0</v>
      </c>
      <c r="I234" s="102">
        <v>150</v>
      </c>
      <c r="J234" s="36"/>
      <c r="K234" s="193" t="s">
        <v>49</v>
      </c>
      <c r="L234" s="369"/>
    </row>
    <row r="235" spans="1:12" s="14" customFormat="1" ht="19.5" customHeight="1">
      <c r="A235" s="305"/>
      <c r="B235" s="298"/>
      <c r="C235" s="188">
        <v>2018</v>
      </c>
      <c r="D235" s="102">
        <f t="shared" si="3"/>
        <v>320</v>
      </c>
      <c r="E235" s="102">
        <v>0</v>
      </c>
      <c r="F235" s="102"/>
      <c r="G235" s="102"/>
      <c r="H235" s="102">
        <v>0</v>
      </c>
      <c r="I235" s="102">
        <v>320</v>
      </c>
      <c r="J235" s="36"/>
      <c r="K235" s="193" t="s">
        <v>54</v>
      </c>
      <c r="L235" s="369"/>
    </row>
    <row r="236" spans="1:12" s="14" customFormat="1" ht="19.5" customHeight="1">
      <c r="A236" s="305"/>
      <c r="B236" s="298"/>
      <c r="C236" s="188">
        <v>2018</v>
      </c>
      <c r="D236" s="102">
        <f t="shared" si="3"/>
        <v>0</v>
      </c>
      <c r="E236" s="102">
        <v>0</v>
      </c>
      <c r="F236" s="102"/>
      <c r="G236" s="102"/>
      <c r="H236" s="102">
        <v>0</v>
      </c>
      <c r="I236" s="102">
        <v>0</v>
      </c>
      <c r="J236" s="36"/>
      <c r="K236" s="193" t="s">
        <v>194</v>
      </c>
      <c r="L236" s="369"/>
    </row>
    <row r="237" spans="1:12" s="14" customFormat="1" ht="19.5" customHeight="1">
      <c r="A237" s="305"/>
      <c r="B237" s="298"/>
      <c r="C237" s="188">
        <v>2019</v>
      </c>
      <c r="D237" s="102">
        <f t="shared" si="3"/>
        <v>0</v>
      </c>
      <c r="E237" s="102">
        <v>0</v>
      </c>
      <c r="F237" s="102"/>
      <c r="G237" s="102"/>
      <c r="H237" s="102">
        <v>0</v>
      </c>
      <c r="I237" s="102">
        <v>0</v>
      </c>
      <c r="J237" s="36"/>
      <c r="K237" s="193"/>
      <c r="L237" s="369"/>
    </row>
    <row r="238" spans="1:12" s="14" customFormat="1" ht="19.5" customHeight="1">
      <c r="A238" s="305"/>
      <c r="B238" s="298"/>
      <c r="C238" s="188">
        <v>2020</v>
      </c>
      <c r="D238" s="102">
        <f t="shared" si="3"/>
        <v>0</v>
      </c>
      <c r="E238" s="102">
        <v>0</v>
      </c>
      <c r="F238" s="102"/>
      <c r="G238" s="102"/>
      <c r="H238" s="102">
        <v>0</v>
      </c>
      <c r="I238" s="102">
        <v>0</v>
      </c>
      <c r="J238" s="36"/>
      <c r="K238" s="193"/>
      <c r="L238" s="369"/>
    </row>
    <row r="239" spans="1:12" s="14" customFormat="1" ht="19.5" customHeight="1">
      <c r="A239" s="305"/>
      <c r="B239" s="298"/>
      <c r="C239" s="188">
        <v>2021</v>
      </c>
      <c r="D239" s="102">
        <f>I239</f>
        <v>0</v>
      </c>
      <c r="E239" s="102">
        <v>0</v>
      </c>
      <c r="F239" s="102"/>
      <c r="G239" s="102"/>
      <c r="H239" s="102">
        <v>0</v>
      </c>
      <c r="I239" s="102">
        <v>0</v>
      </c>
      <c r="J239" s="36"/>
      <c r="K239" s="193"/>
      <c r="L239" s="369"/>
    </row>
    <row r="240" spans="1:12" s="14" customFormat="1" ht="19.5" customHeight="1">
      <c r="A240" s="305"/>
      <c r="B240" s="298"/>
      <c r="C240" s="188">
        <v>2022</v>
      </c>
      <c r="D240" s="102">
        <f t="shared" si="3"/>
        <v>0</v>
      </c>
      <c r="E240" s="102">
        <v>0</v>
      </c>
      <c r="F240" s="102"/>
      <c r="G240" s="102"/>
      <c r="H240" s="102">
        <v>0</v>
      </c>
      <c r="I240" s="102">
        <v>0</v>
      </c>
      <c r="J240" s="36"/>
      <c r="K240" s="193"/>
      <c r="L240" s="369"/>
    </row>
    <row r="241" spans="1:12" s="14" customFormat="1" ht="19.5" customHeight="1">
      <c r="A241" s="306"/>
      <c r="B241" s="299"/>
      <c r="C241" s="188">
        <v>2023</v>
      </c>
      <c r="D241" s="102">
        <v>0</v>
      </c>
      <c r="E241" s="102"/>
      <c r="F241" s="102"/>
      <c r="G241" s="102"/>
      <c r="H241" s="102"/>
      <c r="I241" s="102">
        <v>0</v>
      </c>
      <c r="J241" s="36"/>
      <c r="K241" s="193"/>
      <c r="L241" s="369"/>
    </row>
    <row r="242" spans="1:12" s="14" customFormat="1" ht="19.5" customHeight="1">
      <c r="A242" s="304" t="s">
        <v>210</v>
      </c>
      <c r="B242" s="297" t="s">
        <v>287</v>
      </c>
      <c r="C242" s="188">
        <v>2017</v>
      </c>
      <c r="D242" s="102">
        <f>H242</f>
        <v>0</v>
      </c>
      <c r="E242" s="102">
        <v>0</v>
      </c>
      <c r="F242" s="102"/>
      <c r="G242" s="102"/>
      <c r="H242" s="102">
        <v>0</v>
      </c>
      <c r="I242" s="102">
        <v>0</v>
      </c>
      <c r="J242" s="36"/>
      <c r="K242" s="193"/>
      <c r="L242" s="369"/>
    </row>
    <row r="243" spans="1:12" s="14" customFormat="1" ht="19.5" customHeight="1">
      <c r="A243" s="305"/>
      <c r="B243" s="298"/>
      <c r="C243" s="188">
        <v>2018</v>
      </c>
      <c r="D243" s="102">
        <f>H243+I243</f>
        <v>291.78</v>
      </c>
      <c r="E243" s="102">
        <v>0</v>
      </c>
      <c r="F243" s="102"/>
      <c r="G243" s="102"/>
      <c r="H243" s="102">
        <v>0</v>
      </c>
      <c r="I243" s="102">
        <v>291.78</v>
      </c>
      <c r="J243" s="36"/>
      <c r="K243" s="193" t="s">
        <v>54</v>
      </c>
      <c r="L243" s="369"/>
    </row>
    <row r="244" spans="1:12" s="14" customFormat="1" ht="19.5" customHeight="1">
      <c r="A244" s="305"/>
      <c r="B244" s="298"/>
      <c r="C244" s="188">
        <v>2019</v>
      </c>
      <c r="D244" s="102">
        <f>H244</f>
        <v>0</v>
      </c>
      <c r="E244" s="102">
        <v>0</v>
      </c>
      <c r="F244" s="102"/>
      <c r="G244" s="102"/>
      <c r="H244" s="102">
        <v>0</v>
      </c>
      <c r="I244" s="102">
        <v>0</v>
      </c>
      <c r="J244" s="36"/>
      <c r="K244" s="193"/>
      <c r="L244" s="369"/>
    </row>
    <row r="245" spans="1:12" s="14" customFormat="1" ht="19.5" customHeight="1">
      <c r="A245" s="305"/>
      <c r="B245" s="298"/>
      <c r="C245" s="188">
        <v>2020</v>
      </c>
      <c r="D245" s="102">
        <f>H245</f>
        <v>0</v>
      </c>
      <c r="E245" s="102">
        <v>0</v>
      </c>
      <c r="F245" s="102"/>
      <c r="G245" s="102"/>
      <c r="H245" s="102">
        <v>0</v>
      </c>
      <c r="I245" s="102">
        <v>0</v>
      </c>
      <c r="J245" s="36"/>
      <c r="K245" s="193"/>
      <c r="L245" s="369"/>
    </row>
    <row r="246" spans="1:12" s="14" customFormat="1" ht="19.5" customHeight="1">
      <c r="A246" s="305"/>
      <c r="B246" s="298"/>
      <c r="C246" s="188">
        <v>2021</v>
      </c>
      <c r="D246" s="102">
        <f>H246</f>
        <v>0</v>
      </c>
      <c r="E246" s="102">
        <v>0</v>
      </c>
      <c r="F246" s="102"/>
      <c r="G246" s="102"/>
      <c r="H246" s="102">
        <v>0</v>
      </c>
      <c r="I246" s="102">
        <v>0</v>
      </c>
      <c r="J246" s="36"/>
      <c r="K246" s="193"/>
      <c r="L246" s="369"/>
    </row>
    <row r="247" spans="1:12" s="14" customFormat="1" ht="19.5" customHeight="1">
      <c r="A247" s="305"/>
      <c r="B247" s="298"/>
      <c r="C247" s="188">
        <v>2022</v>
      </c>
      <c r="D247" s="102">
        <v>0</v>
      </c>
      <c r="E247" s="102">
        <v>0</v>
      </c>
      <c r="F247" s="102"/>
      <c r="G247" s="102"/>
      <c r="H247" s="102">
        <v>0</v>
      </c>
      <c r="I247" s="102">
        <v>0</v>
      </c>
      <c r="J247" s="36"/>
      <c r="K247" s="193"/>
      <c r="L247" s="369"/>
    </row>
    <row r="248" spans="1:12" s="14" customFormat="1" ht="19.5" customHeight="1">
      <c r="A248" s="306"/>
      <c r="B248" s="299"/>
      <c r="C248" s="188">
        <v>2023</v>
      </c>
      <c r="D248" s="102">
        <v>0</v>
      </c>
      <c r="E248" s="102"/>
      <c r="F248" s="102"/>
      <c r="G248" s="102"/>
      <c r="H248" s="102"/>
      <c r="I248" s="102">
        <v>0</v>
      </c>
      <c r="J248" s="36"/>
      <c r="K248" s="193"/>
      <c r="L248" s="369"/>
    </row>
    <row r="249" spans="1:12" s="14" customFormat="1" ht="19.5" customHeight="1">
      <c r="A249" s="304" t="s">
        <v>211</v>
      </c>
      <c r="B249" s="297" t="s">
        <v>212</v>
      </c>
      <c r="C249" s="188">
        <v>2017</v>
      </c>
      <c r="D249" s="102">
        <f>H249</f>
        <v>0</v>
      </c>
      <c r="E249" s="102">
        <v>0</v>
      </c>
      <c r="F249" s="102"/>
      <c r="G249" s="102"/>
      <c r="H249" s="102">
        <v>0</v>
      </c>
      <c r="I249" s="102">
        <v>0</v>
      </c>
      <c r="J249" s="36"/>
      <c r="K249" s="193"/>
      <c r="L249" s="369"/>
    </row>
    <row r="250" spans="1:12" s="14" customFormat="1" ht="19.5" customHeight="1">
      <c r="A250" s="305"/>
      <c r="B250" s="298"/>
      <c r="C250" s="188">
        <v>2018</v>
      </c>
      <c r="D250" s="102">
        <f>I250</f>
        <v>195.434</v>
      </c>
      <c r="E250" s="102">
        <v>0</v>
      </c>
      <c r="F250" s="102"/>
      <c r="G250" s="102"/>
      <c r="H250" s="102">
        <v>0</v>
      </c>
      <c r="I250" s="102">
        <v>195.434</v>
      </c>
      <c r="J250" s="36"/>
      <c r="K250" s="193" t="s">
        <v>224</v>
      </c>
      <c r="L250" s="369"/>
    </row>
    <row r="251" spans="1:12" s="14" customFormat="1" ht="19.5" customHeight="1">
      <c r="A251" s="305"/>
      <c r="B251" s="298"/>
      <c r="C251" s="188">
        <v>2018</v>
      </c>
      <c r="D251" s="102">
        <f>H251+I251</f>
        <v>537.09719</v>
      </c>
      <c r="E251" s="102">
        <v>0</v>
      </c>
      <c r="F251" s="102"/>
      <c r="G251" s="102"/>
      <c r="H251" s="102">
        <v>0</v>
      </c>
      <c r="I251" s="102">
        <f>537.09719</f>
        <v>537.09719</v>
      </c>
      <c r="J251" s="36"/>
      <c r="K251" s="194" t="s">
        <v>194</v>
      </c>
      <c r="L251" s="369"/>
    </row>
    <row r="252" spans="1:12" s="14" customFormat="1" ht="19.5" customHeight="1">
      <c r="A252" s="305"/>
      <c r="B252" s="298"/>
      <c r="C252" s="188">
        <v>2019</v>
      </c>
      <c r="D252" s="102">
        <f>H252</f>
        <v>0</v>
      </c>
      <c r="E252" s="102">
        <v>0</v>
      </c>
      <c r="F252" s="102"/>
      <c r="G252" s="102"/>
      <c r="H252" s="102">
        <v>0</v>
      </c>
      <c r="I252" s="102">
        <v>0</v>
      </c>
      <c r="J252" s="36"/>
      <c r="K252" s="193"/>
      <c r="L252" s="369"/>
    </row>
    <row r="253" spans="1:12" s="14" customFormat="1" ht="19.5" customHeight="1">
      <c r="A253" s="305"/>
      <c r="B253" s="298"/>
      <c r="C253" s="188">
        <v>2020</v>
      </c>
      <c r="D253" s="102">
        <f>H253</f>
        <v>0</v>
      </c>
      <c r="E253" s="102">
        <v>0</v>
      </c>
      <c r="F253" s="102"/>
      <c r="G253" s="102"/>
      <c r="H253" s="102">
        <v>0</v>
      </c>
      <c r="I253" s="102">
        <v>0</v>
      </c>
      <c r="J253" s="36"/>
      <c r="K253" s="193"/>
      <c r="L253" s="369"/>
    </row>
    <row r="254" spans="1:12" s="14" customFormat="1" ht="19.5" customHeight="1">
      <c r="A254" s="305"/>
      <c r="B254" s="298"/>
      <c r="C254" s="188">
        <v>2021</v>
      </c>
      <c r="D254" s="102">
        <v>0</v>
      </c>
      <c r="E254" s="102">
        <v>0</v>
      </c>
      <c r="F254" s="102"/>
      <c r="G254" s="102"/>
      <c r="H254" s="102">
        <v>0</v>
      </c>
      <c r="I254" s="102">
        <v>0</v>
      </c>
      <c r="J254" s="36"/>
      <c r="K254" s="193"/>
      <c r="L254" s="369"/>
    </row>
    <row r="255" spans="1:12" s="14" customFormat="1" ht="19.5" customHeight="1">
      <c r="A255" s="305"/>
      <c r="B255" s="298"/>
      <c r="C255" s="188">
        <v>2022</v>
      </c>
      <c r="D255" s="102">
        <v>0</v>
      </c>
      <c r="E255" s="102">
        <v>0</v>
      </c>
      <c r="F255" s="102"/>
      <c r="G255" s="102"/>
      <c r="H255" s="102">
        <v>0</v>
      </c>
      <c r="I255" s="102">
        <v>0</v>
      </c>
      <c r="J255" s="36"/>
      <c r="K255" s="193"/>
      <c r="L255" s="369"/>
    </row>
    <row r="256" spans="1:12" s="14" customFormat="1" ht="19.5" customHeight="1">
      <c r="A256" s="306"/>
      <c r="B256" s="299"/>
      <c r="C256" s="188">
        <v>2023</v>
      </c>
      <c r="D256" s="102">
        <v>0</v>
      </c>
      <c r="E256" s="102"/>
      <c r="F256" s="102"/>
      <c r="G256" s="102"/>
      <c r="H256" s="102"/>
      <c r="I256" s="102">
        <v>0</v>
      </c>
      <c r="J256" s="36"/>
      <c r="K256" s="193"/>
      <c r="L256" s="369"/>
    </row>
    <row r="257" spans="1:12" s="14" customFormat="1" ht="19.5" customHeight="1">
      <c r="A257" s="176" t="s">
        <v>213</v>
      </c>
      <c r="B257" s="307" t="s">
        <v>219</v>
      </c>
      <c r="C257" s="188">
        <v>2017</v>
      </c>
      <c r="D257" s="102">
        <v>0</v>
      </c>
      <c r="E257" s="102">
        <v>0</v>
      </c>
      <c r="F257" s="102"/>
      <c r="G257" s="102"/>
      <c r="H257" s="102">
        <v>0</v>
      </c>
      <c r="I257" s="102">
        <v>0</v>
      </c>
      <c r="J257" s="36"/>
      <c r="K257" s="193"/>
      <c r="L257" s="369"/>
    </row>
    <row r="258" spans="1:12" s="14" customFormat="1" ht="19.5" customHeight="1">
      <c r="A258" s="177"/>
      <c r="B258" s="308"/>
      <c r="C258" s="188">
        <v>2018</v>
      </c>
      <c r="D258" s="102">
        <f>I258</f>
        <v>515.42</v>
      </c>
      <c r="E258" s="102">
        <v>0</v>
      </c>
      <c r="F258" s="102"/>
      <c r="G258" s="102"/>
      <c r="H258" s="102">
        <v>0</v>
      </c>
      <c r="I258" s="102">
        <f>515.5-0.08</f>
        <v>515.42</v>
      </c>
      <c r="J258" s="36"/>
      <c r="K258" s="193" t="s">
        <v>53</v>
      </c>
      <c r="L258" s="369"/>
    </row>
    <row r="259" spans="1:12" s="14" customFormat="1" ht="19.5" customHeight="1">
      <c r="A259" s="177"/>
      <c r="B259" s="308"/>
      <c r="C259" s="188">
        <v>2019</v>
      </c>
      <c r="D259" s="102">
        <v>0</v>
      </c>
      <c r="E259" s="102">
        <v>0</v>
      </c>
      <c r="F259" s="102"/>
      <c r="G259" s="102"/>
      <c r="H259" s="102">
        <v>0</v>
      </c>
      <c r="I259" s="102">
        <v>0</v>
      </c>
      <c r="J259" s="36"/>
      <c r="K259" s="193"/>
      <c r="L259" s="369"/>
    </row>
    <row r="260" spans="1:12" s="14" customFormat="1" ht="19.5" customHeight="1">
      <c r="A260" s="177"/>
      <c r="B260" s="308"/>
      <c r="C260" s="188">
        <v>2020</v>
      </c>
      <c r="D260" s="102">
        <v>0</v>
      </c>
      <c r="E260" s="102">
        <v>0</v>
      </c>
      <c r="F260" s="102"/>
      <c r="G260" s="102"/>
      <c r="H260" s="102">
        <v>0</v>
      </c>
      <c r="I260" s="102">
        <v>0</v>
      </c>
      <c r="J260" s="36"/>
      <c r="K260" s="193"/>
      <c r="L260" s="369"/>
    </row>
    <row r="261" spans="1:12" s="14" customFormat="1" ht="19.5" customHeight="1">
      <c r="A261" s="177"/>
      <c r="B261" s="308"/>
      <c r="C261" s="188">
        <v>2021</v>
      </c>
      <c r="D261" s="102">
        <v>0</v>
      </c>
      <c r="E261" s="102">
        <v>0</v>
      </c>
      <c r="F261" s="102"/>
      <c r="G261" s="102"/>
      <c r="H261" s="102">
        <v>0</v>
      </c>
      <c r="I261" s="102">
        <v>0</v>
      </c>
      <c r="J261" s="36"/>
      <c r="K261" s="193"/>
      <c r="L261" s="369"/>
    </row>
    <row r="262" spans="1:12" s="14" customFormat="1" ht="19.5" customHeight="1">
      <c r="A262" s="177"/>
      <c r="B262" s="308"/>
      <c r="C262" s="188">
        <v>2022</v>
      </c>
      <c r="D262" s="102">
        <v>0</v>
      </c>
      <c r="E262" s="102">
        <v>0</v>
      </c>
      <c r="F262" s="102"/>
      <c r="G262" s="102"/>
      <c r="H262" s="102">
        <v>0</v>
      </c>
      <c r="I262" s="102">
        <v>0</v>
      </c>
      <c r="J262" s="36"/>
      <c r="K262" s="193"/>
      <c r="L262" s="369"/>
    </row>
    <row r="263" spans="1:12" s="14" customFormat="1" ht="19.5" customHeight="1">
      <c r="A263" s="178"/>
      <c r="B263" s="309"/>
      <c r="C263" s="188">
        <v>2023</v>
      </c>
      <c r="D263" s="102">
        <v>0</v>
      </c>
      <c r="E263" s="102"/>
      <c r="F263" s="102"/>
      <c r="G263" s="102"/>
      <c r="H263" s="102"/>
      <c r="I263" s="102">
        <v>0</v>
      </c>
      <c r="J263" s="36"/>
      <c r="K263" s="193"/>
      <c r="L263" s="369"/>
    </row>
    <row r="264" spans="1:12" s="14" customFormat="1" ht="19.5" customHeight="1">
      <c r="A264" s="304" t="s">
        <v>214</v>
      </c>
      <c r="B264" s="307" t="s">
        <v>220</v>
      </c>
      <c r="C264" s="188">
        <v>2017</v>
      </c>
      <c r="D264" s="102">
        <v>0</v>
      </c>
      <c r="E264" s="102">
        <v>0</v>
      </c>
      <c r="F264" s="102"/>
      <c r="G264" s="102"/>
      <c r="H264" s="102">
        <v>0</v>
      </c>
      <c r="I264" s="102">
        <v>0</v>
      </c>
      <c r="J264" s="36"/>
      <c r="K264" s="193"/>
      <c r="L264" s="369"/>
    </row>
    <row r="265" spans="1:12" s="14" customFormat="1" ht="19.5" customHeight="1">
      <c r="A265" s="305"/>
      <c r="B265" s="308"/>
      <c r="C265" s="188">
        <v>2018</v>
      </c>
      <c r="D265" s="102">
        <f>I265</f>
        <v>135.299</v>
      </c>
      <c r="E265" s="102">
        <v>0</v>
      </c>
      <c r="F265" s="102"/>
      <c r="G265" s="102"/>
      <c r="H265" s="102">
        <v>0</v>
      </c>
      <c r="I265" s="102">
        <v>135.299</v>
      </c>
      <c r="J265" s="36"/>
      <c r="K265" s="193" t="s">
        <v>54</v>
      </c>
      <c r="L265" s="369"/>
    </row>
    <row r="266" spans="1:12" s="14" customFormat="1" ht="19.5" customHeight="1">
      <c r="A266" s="305"/>
      <c r="B266" s="308"/>
      <c r="C266" s="188">
        <v>2019</v>
      </c>
      <c r="D266" s="102">
        <v>0</v>
      </c>
      <c r="E266" s="102">
        <v>0</v>
      </c>
      <c r="F266" s="102"/>
      <c r="G266" s="102"/>
      <c r="H266" s="102">
        <v>0</v>
      </c>
      <c r="I266" s="102">
        <v>0</v>
      </c>
      <c r="J266" s="36"/>
      <c r="K266" s="193"/>
      <c r="L266" s="369"/>
    </row>
    <row r="267" spans="1:12" s="14" customFormat="1" ht="19.5" customHeight="1">
      <c r="A267" s="305"/>
      <c r="B267" s="308"/>
      <c r="C267" s="188">
        <v>2020</v>
      </c>
      <c r="D267" s="102">
        <v>0</v>
      </c>
      <c r="E267" s="102">
        <v>0</v>
      </c>
      <c r="F267" s="102"/>
      <c r="G267" s="102"/>
      <c r="H267" s="102">
        <v>0</v>
      </c>
      <c r="I267" s="102">
        <v>0</v>
      </c>
      <c r="J267" s="36"/>
      <c r="K267" s="193"/>
      <c r="L267" s="369"/>
    </row>
    <row r="268" spans="1:12" s="14" customFormat="1" ht="19.5" customHeight="1">
      <c r="A268" s="305"/>
      <c r="B268" s="308"/>
      <c r="C268" s="188">
        <v>2021</v>
      </c>
      <c r="D268" s="102">
        <v>0</v>
      </c>
      <c r="E268" s="102">
        <v>0</v>
      </c>
      <c r="F268" s="102"/>
      <c r="G268" s="102"/>
      <c r="H268" s="102">
        <v>0</v>
      </c>
      <c r="I268" s="102">
        <v>0</v>
      </c>
      <c r="J268" s="36"/>
      <c r="K268" s="193"/>
      <c r="L268" s="369"/>
    </row>
    <row r="269" spans="1:12" s="14" customFormat="1" ht="19.5" customHeight="1">
      <c r="A269" s="305"/>
      <c r="B269" s="308"/>
      <c r="C269" s="188">
        <v>2022</v>
      </c>
      <c r="D269" s="102">
        <v>0</v>
      </c>
      <c r="E269" s="102">
        <v>0</v>
      </c>
      <c r="F269" s="102"/>
      <c r="G269" s="102"/>
      <c r="H269" s="102">
        <v>0</v>
      </c>
      <c r="I269" s="102">
        <v>0</v>
      </c>
      <c r="J269" s="36"/>
      <c r="K269" s="193"/>
      <c r="L269" s="369"/>
    </row>
    <row r="270" spans="1:12" s="14" customFormat="1" ht="19.5" customHeight="1">
      <c r="A270" s="306"/>
      <c r="B270" s="309"/>
      <c r="C270" s="188">
        <v>2023</v>
      </c>
      <c r="D270" s="102">
        <v>0</v>
      </c>
      <c r="E270" s="102"/>
      <c r="F270" s="102"/>
      <c r="G270" s="102"/>
      <c r="H270" s="102"/>
      <c r="I270" s="102">
        <v>0</v>
      </c>
      <c r="J270" s="36"/>
      <c r="K270" s="193"/>
      <c r="L270" s="369"/>
    </row>
    <row r="271" spans="1:12" s="14" customFormat="1" ht="19.5" customHeight="1">
      <c r="A271" s="304" t="s">
        <v>215</v>
      </c>
      <c r="B271" s="307" t="s">
        <v>221</v>
      </c>
      <c r="C271" s="188">
        <v>2017</v>
      </c>
      <c r="D271" s="102">
        <v>0</v>
      </c>
      <c r="E271" s="102">
        <v>0</v>
      </c>
      <c r="F271" s="102"/>
      <c r="G271" s="102"/>
      <c r="H271" s="102">
        <v>0</v>
      </c>
      <c r="I271" s="102">
        <v>0</v>
      </c>
      <c r="J271" s="36"/>
      <c r="K271" s="193"/>
      <c r="L271" s="369"/>
    </row>
    <row r="272" spans="1:12" s="14" customFormat="1" ht="19.5" customHeight="1">
      <c r="A272" s="305"/>
      <c r="B272" s="308"/>
      <c r="C272" s="188">
        <v>2018</v>
      </c>
      <c r="D272" s="102">
        <f>I272</f>
        <v>99.792</v>
      </c>
      <c r="E272" s="102">
        <v>0</v>
      </c>
      <c r="F272" s="102"/>
      <c r="G272" s="102"/>
      <c r="H272" s="102">
        <v>0</v>
      </c>
      <c r="I272" s="102">
        <f>112-0.208-12</f>
        <v>99.792</v>
      </c>
      <c r="J272" s="36"/>
      <c r="K272" s="193" t="s">
        <v>151</v>
      </c>
      <c r="L272" s="369"/>
    </row>
    <row r="273" spans="1:12" s="14" customFormat="1" ht="19.5" customHeight="1">
      <c r="A273" s="305"/>
      <c r="B273" s="308"/>
      <c r="C273" s="188">
        <v>2019</v>
      </c>
      <c r="D273" s="102">
        <v>0</v>
      </c>
      <c r="E273" s="102">
        <v>0</v>
      </c>
      <c r="F273" s="102"/>
      <c r="G273" s="102"/>
      <c r="H273" s="102">
        <v>0</v>
      </c>
      <c r="I273" s="102">
        <v>0</v>
      </c>
      <c r="J273" s="36"/>
      <c r="K273" s="193"/>
      <c r="L273" s="369"/>
    </row>
    <row r="274" spans="1:12" s="14" customFormat="1" ht="19.5" customHeight="1">
      <c r="A274" s="305"/>
      <c r="B274" s="308"/>
      <c r="C274" s="188">
        <v>2020</v>
      </c>
      <c r="D274" s="102">
        <v>0</v>
      </c>
      <c r="E274" s="102">
        <v>0</v>
      </c>
      <c r="F274" s="102"/>
      <c r="G274" s="102"/>
      <c r="H274" s="102">
        <v>0</v>
      </c>
      <c r="I274" s="102">
        <v>0</v>
      </c>
      <c r="J274" s="36"/>
      <c r="K274" s="193"/>
      <c r="L274" s="369"/>
    </row>
    <row r="275" spans="1:12" s="14" customFormat="1" ht="19.5" customHeight="1">
      <c r="A275" s="305"/>
      <c r="B275" s="308"/>
      <c r="C275" s="188">
        <v>2021</v>
      </c>
      <c r="D275" s="102">
        <v>0</v>
      </c>
      <c r="E275" s="102">
        <v>0</v>
      </c>
      <c r="F275" s="102"/>
      <c r="G275" s="102"/>
      <c r="H275" s="102">
        <v>0</v>
      </c>
      <c r="I275" s="102">
        <v>0</v>
      </c>
      <c r="J275" s="36"/>
      <c r="K275" s="193"/>
      <c r="L275" s="369"/>
    </row>
    <row r="276" spans="1:12" s="14" customFormat="1" ht="19.5" customHeight="1">
      <c r="A276" s="305"/>
      <c r="B276" s="308"/>
      <c r="C276" s="188">
        <v>2022</v>
      </c>
      <c r="D276" s="102">
        <v>0</v>
      </c>
      <c r="E276" s="102">
        <v>0</v>
      </c>
      <c r="F276" s="102"/>
      <c r="G276" s="102"/>
      <c r="H276" s="102">
        <v>0</v>
      </c>
      <c r="I276" s="102">
        <v>0</v>
      </c>
      <c r="J276" s="36"/>
      <c r="K276" s="193"/>
      <c r="L276" s="369"/>
    </row>
    <row r="277" spans="1:12" s="14" customFormat="1" ht="19.5" customHeight="1">
      <c r="A277" s="306"/>
      <c r="B277" s="309"/>
      <c r="C277" s="188">
        <v>2023</v>
      </c>
      <c r="D277" s="102">
        <v>0</v>
      </c>
      <c r="E277" s="102"/>
      <c r="F277" s="102"/>
      <c r="G277" s="102"/>
      <c r="H277" s="102"/>
      <c r="I277" s="102">
        <v>0</v>
      </c>
      <c r="J277" s="36"/>
      <c r="K277" s="193"/>
      <c r="L277" s="369"/>
    </row>
    <row r="278" spans="1:12" s="14" customFormat="1" ht="19.5" customHeight="1">
      <c r="A278" s="304" t="s">
        <v>216</v>
      </c>
      <c r="B278" s="307" t="s">
        <v>222</v>
      </c>
      <c r="C278" s="188">
        <v>2017</v>
      </c>
      <c r="D278" s="102">
        <v>0</v>
      </c>
      <c r="E278" s="102">
        <v>0</v>
      </c>
      <c r="F278" s="102"/>
      <c r="G278" s="102"/>
      <c r="H278" s="102">
        <v>0</v>
      </c>
      <c r="I278" s="102">
        <v>0</v>
      </c>
      <c r="J278" s="36"/>
      <c r="K278" s="193"/>
      <c r="L278" s="369"/>
    </row>
    <row r="279" spans="1:12" s="14" customFormat="1" ht="19.5" customHeight="1">
      <c r="A279" s="305"/>
      <c r="B279" s="308"/>
      <c r="C279" s="188">
        <v>2018</v>
      </c>
      <c r="D279" s="102">
        <f>I279</f>
        <v>210.463</v>
      </c>
      <c r="E279" s="102">
        <v>0</v>
      </c>
      <c r="F279" s="102"/>
      <c r="G279" s="102"/>
      <c r="H279" s="102">
        <v>0</v>
      </c>
      <c r="I279" s="102">
        <f>310-67.537-32</f>
        <v>210.463</v>
      </c>
      <c r="J279" s="36"/>
      <c r="K279" s="193" t="s">
        <v>50</v>
      </c>
      <c r="L279" s="369"/>
    </row>
    <row r="280" spans="1:12" s="14" customFormat="1" ht="19.5" customHeight="1">
      <c r="A280" s="305"/>
      <c r="B280" s="308"/>
      <c r="C280" s="188">
        <v>2019</v>
      </c>
      <c r="D280" s="102">
        <v>0</v>
      </c>
      <c r="E280" s="102">
        <v>0</v>
      </c>
      <c r="F280" s="102"/>
      <c r="G280" s="102"/>
      <c r="H280" s="102">
        <v>0</v>
      </c>
      <c r="I280" s="102">
        <v>0</v>
      </c>
      <c r="J280" s="36"/>
      <c r="K280" s="193"/>
      <c r="L280" s="369"/>
    </row>
    <row r="281" spans="1:12" s="14" customFormat="1" ht="19.5" customHeight="1">
      <c r="A281" s="305"/>
      <c r="B281" s="308"/>
      <c r="C281" s="188">
        <v>2020</v>
      </c>
      <c r="D281" s="102">
        <v>0</v>
      </c>
      <c r="E281" s="102">
        <v>0</v>
      </c>
      <c r="F281" s="102"/>
      <c r="G281" s="102"/>
      <c r="H281" s="102">
        <v>0</v>
      </c>
      <c r="I281" s="102">
        <v>0</v>
      </c>
      <c r="J281" s="36"/>
      <c r="K281" s="193"/>
      <c r="L281" s="369"/>
    </row>
    <row r="282" spans="1:12" s="14" customFormat="1" ht="19.5" customHeight="1">
      <c r="A282" s="305"/>
      <c r="B282" s="308"/>
      <c r="C282" s="188">
        <v>2021</v>
      </c>
      <c r="D282" s="102">
        <v>0</v>
      </c>
      <c r="E282" s="102">
        <v>0</v>
      </c>
      <c r="F282" s="102"/>
      <c r="G282" s="102"/>
      <c r="H282" s="102">
        <v>0</v>
      </c>
      <c r="I282" s="102">
        <v>0</v>
      </c>
      <c r="J282" s="36"/>
      <c r="K282" s="193"/>
      <c r="L282" s="369"/>
    </row>
    <row r="283" spans="1:12" s="14" customFormat="1" ht="19.5" customHeight="1">
      <c r="A283" s="305"/>
      <c r="B283" s="308"/>
      <c r="C283" s="188">
        <v>2022</v>
      </c>
      <c r="D283" s="102">
        <v>0</v>
      </c>
      <c r="E283" s="102">
        <v>0</v>
      </c>
      <c r="F283" s="102"/>
      <c r="G283" s="102"/>
      <c r="H283" s="102">
        <v>0</v>
      </c>
      <c r="I283" s="102">
        <v>0</v>
      </c>
      <c r="J283" s="36"/>
      <c r="K283" s="179"/>
      <c r="L283" s="369"/>
    </row>
    <row r="284" spans="1:12" s="14" customFormat="1" ht="19.5" customHeight="1">
      <c r="A284" s="306"/>
      <c r="B284" s="309"/>
      <c r="C284" s="188">
        <v>2023</v>
      </c>
      <c r="D284" s="102">
        <v>0</v>
      </c>
      <c r="E284" s="102"/>
      <c r="F284" s="102"/>
      <c r="G284" s="102"/>
      <c r="H284" s="102"/>
      <c r="I284" s="102">
        <v>0</v>
      </c>
      <c r="J284" s="36"/>
      <c r="K284" s="179"/>
      <c r="L284" s="369"/>
    </row>
    <row r="285" spans="1:12" s="14" customFormat="1" ht="19.5" customHeight="1">
      <c r="A285" s="304" t="s">
        <v>217</v>
      </c>
      <c r="B285" s="307" t="s">
        <v>254</v>
      </c>
      <c r="C285" s="188">
        <v>2017</v>
      </c>
      <c r="D285" s="102">
        <v>0</v>
      </c>
      <c r="E285" s="102">
        <v>0</v>
      </c>
      <c r="F285" s="102"/>
      <c r="G285" s="102"/>
      <c r="H285" s="102">
        <v>0</v>
      </c>
      <c r="I285" s="102">
        <v>0</v>
      </c>
      <c r="J285" s="36"/>
      <c r="K285" s="304" t="s">
        <v>56</v>
      </c>
      <c r="L285" s="369"/>
    </row>
    <row r="286" spans="1:12" s="14" customFormat="1" ht="19.5" customHeight="1">
      <c r="A286" s="305"/>
      <c r="B286" s="308"/>
      <c r="C286" s="188">
        <v>2018</v>
      </c>
      <c r="D286" s="102">
        <f>I286</f>
        <v>160</v>
      </c>
      <c r="E286" s="102">
        <v>0</v>
      </c>
      <c r="F286" s="102"/>
      <c r="G286" s="102"/>
      <c r="H286" s="102">
        <v>0</v>
      </c>
      <c r="I286" s="102">
        <v>160</v>
      </c>
      <c r="J286" s="36"/>
      <c r="K286" s="305"/>
      <c r="L286" s="369"/>
    </row>
    <row r="287" spans="1:12" s="14" customFormat="1" ht="19.5" customHeight="1">
      <c r="A287" s="305"/>
      <c r="B287" s="308"/>
      <c r="C287" s="188">
        <v>2019</v>
      </c>
      <c r="D287" s="102">
        <v>0</v>
      </c>
      <c r="E287" s="102">
        <v>0</v>
      </c>
      <c r="F287" s="102"/>
      <c r="G287" s="102"/>
      <c r="H287" s="102">
        <v>0</v>
      </c>
      <c r="I287" s="102">
        <v>0</v>
      </c>
      <c r="J287" s="36"/>
      <c r="K287" s="305"/>
      <c r="L287" s="369"/>
    </row>
    <row r="288" spans="1:12" s="14" customFormat="1" ht="19.5" customHeight="1">
      <c r="A288" s="305"/>
      <c r="B288" s="308"/>
      <c r="C288" s="188">
        <v>2020</v>
      </c>
      <c r="D288" s="102">
        <v>0</v>
      </c>
      <c r="E288" s="102">
        <v>0</v>
      </c>
      <c r="F288" s="102"/>
      <c r="G288" s="102"/>
      <c r="H288" s="102">
        <v>0</v>
      </c>
      <c r="I288" s="102">
        <v>0</v>
      </c>
      <c r="J288" s="36"/>
      <c r="K288" s="305"/>
      <c r="L288" s="369"/>
    </row>
    <row r="289" spans="1:12" s="14" customFormat="1" ht="19.5" customHeight="1">
      <c r="A289" s="305"/>
      <c r="B289" s="308"/>
      <c r="C289" s="188">
        <v>2021</v>
      </c>
      <c r="D289" s="102">
        <v>0</v>
      </c>
      <c r="E289" s="102">
        <v>0</v>
      </c>
      <c r="F289" s="102"/>
      <c r="G289" s="102"/>
      <c r="H289" s="102">
        <v>0</v>
      </c>
      <c r="I289" s="102">
        <v>0</v>
      </c>
      <c r="J289" s="36"/>
      <c r="K289" s="306"/>
      <c r="L289" s="369"/>
    </row>
    <row r="290" spans="1:12" s="14" customFormat="1" ht="19.5" customHeight="1">
      <c r="A290" s="305"/>
      <c r="B290" s="308"/>
      <c r="C290" s="188">
        <v>2022</v>
      </c>
      <c r="D290" s="102">
        <v>0</v>
      </c>
      <c r="E290" s="102">
        <v>0</v>
      </c>
      <c r="F290" s="102"/>
      <c r="G290" s="102"/>
      <c r="H290" s="102">
        <v>0</v>
      </c>
      <c r="I290" s="102">
        <v>0</v>
      </c>
      <c r="J290" s="36"/>
      <c r="K290" s="178"/>
      <c r="L290" s="369"/>
    </row>
    <row r="291" spans="1:12" s="14" customFormat="1" ht="19.5" customHeight="1">
      <c r="A291" s="306"/>
      <c r="B291" s="309"/>
      <c r="C291" s="188">
        <v>2023</v>
      </c>
      <c r="D291" s="102">
        <v>0</v>
      </c>
      <c r="E291" s="102"/>
      <c r="F291" s="102"/>
      <c r="G291" s="102"/>
      <c r="H291" s="102"/>
      <c r="I291" s="102">
        <v>0</v>
      </c>
      <c r="J291" s="36"/>
      <c r="K291" s="178"/>
      <c r="L291" s="369"/>
    </row>
    <row r="292" spans="1:12" s="14" customFormat="1" ht="19.5" customHeight="1">
      <c r="A292" s="304" t="s">
        <v>218</v>
      </c>
      <c r="B292" s="307" t="s">
        <v>223</v>
      </c>
      <c r="C292" s="188">
        <v>2017</v>
      </c>
      <c r="D292" s="102">
        <v>0</v>
      </c>
      <c r="E292" s="102">
        <v>0</v>
      </c>
      <c r="F292" s="102"/>
      <c r="G292" s="102"/>
      <c r="H292" s="102">
        <v>0</v>
      </c>
      <c r="I292" s="102">
        <v>0</v>
      </c>
      <c r="J292" s="36"/>
      <c r="K292" s="193"/>
      <c r="L292" s="369"/>
    </row>
    <row r="293" spans="1:12" s="14" customFormat="1" ht="19.5" customHeight="1">
      <c r="A293" s="305"/>
      <c r="B293" s="308"/>
      <c r="C293" s="188">
        <v>2018</v>
      </c>
      <c r="D293" s="102">
        <f>I293</f>
        <v>245.451</v>
      </c>
      <c r="E293" s="102">
        <v>0</v>
      </c>
      <c r="F293" s="102"/>
      <c r="G293" s="102"/>
      <c r="H293" s="102">
        <v>0</v>
      </c>
      <c r="I293" s="102">
        <f>255.701-10.25</f>
        <v>245.451</v>
      </c>
      <c r="J293" s="36"/>
      <c r="K293" s="193" t="s">
        <v>53</v>
      </c>
      <c r="L293" s="369"/>
    </row>
    <row r="294" spans="1:12" s="14" customFormat="1" ht="19.5" customHeight="1">
      <c r="A294" s="305"/>
      <c r="B294" s="308"/>
      <c r="C294" s="188">
        <v>2019</v>
      </c>
      <c r="D294" s="102">
        <v>0</v>
      </c>
      <c r="E294" s="102">
        <v>0</v>
      </c>
      <c r="F294" s="102"/>
      <c r="G294" s="102"/>
      <c r="H294" s="102">
        <v>0</v>
      </c>
      <c r="I294" s="102">
        <v>0</v>
      </c>
      <c r="J294" s="36"/>
      <c r="K294" s="193"/>
      <c r="L294" s="369"/>
    </row>
    <row r="295" spans="1:12" s="14" customFormat="1" ht="19.5" customHeight="1">
      <c r="A295" s="305"/>
      <c r="B295" s="308"/>
      <c r="C295" s="188">
        <v>2020</v>
      </c>
      <c r="D295" s="102">
        <v>0</v>
      </c>
      <c r="E295" s="102">
        <v>0</v>
      </c>
      <c r="F295" s="102"/>
      <c r="G295" s="102"/>
      <c r="H295" s="102">
        <v>0</v>
      </c>
      <c r="I295" s="102">
        <v>0</v>
      </c>
      <c r="J295" s="36"/>
      <c r="K295" s="193"/>
      <c r="L295" s="369"/>
    </row>
    <row r="296" spans="1:12" s="14" customFormat="1" ht="19.5" customHeight="1">
      <c r="A296" s="305"/>
      <c r="B296" s="308"/>
      <c r="C296" s="188">
        <v>2021</v>
      </c>
      <c r="D296" s="102">
        <v>0</v>
      </c>
      <c r="E296" s="102">
        <v>0</v>
      </c>
      <c r="F296" s="102"/>
      <c r="G296" s="102"/>
      <c r="H296" s="102">
        <v>0</v>
      </c>
      <c r="I296" s="102">
        <v>0</v>
      </c>
      <c r="J296" s="36"/>
      <c r="K296" s="193"/>
      <c r="L296" s="369"/>
    </row>
    <row r="297" spans="1:12" s="14" customFormat="1" ht="19.5" customHeight="1">
      <c r="A297" s="305"/>
      <c r="B297" s="308"/>
      <c r="C297" s="188">
        <v>2022</v>
      </c>
      <c r="D297" s="102">
        <v>0</v>
      </c>
      <c r="E297" s="102">
        <v>0</v>
      </c>
      <c r="F297" s="102"/>
      <c r="G297" s="102"/>
      <c r="H297" s="102">
        <v>0</v>
      </c>
      <c r="I297" s="102">
        <v>0</v>
      </c>
      <c r="J297" s="36"/>
      <c r="K297" s="193"/>
      <c r="L297" s="369"/>
    </row>
    <row r="298" spans="1:12" s="14" customFormat="1" ht="19.5" customHeight="1">
      <c r="A298" s="306"/>
      <c r="B298" s="309"/>
      <c r="C298" s="188">
        <v>2023</v>
      </c>
      <c r="D298" s="102">
        <v>0</v>
      </c>
      <c r="E298" s="102"/>
      <c r="F298" s="102"/>
      <c r="G298" s="102"/>
      <c r="H298" s="102"/>
      <c r="I298" s="102">
        <v>0</v>
      </c>
      <c r="J298" s="36"/>
      <c r="K298" s="193"/>
      <c r="L298" s="369"/>
    </row>
    <row r="299" spans="1:12" s="14" customFormat="1" ht="19.5" customHeight="1">
      <c r="A299" s="304" t="s">
        <v>225</v>
      </c>
      <c r="B299" s="307" t="s">
        <v>226</v>
      </c>
      <c r="C299" s="188">
        <v>2017</v>
      </c>
      <c r="D299" s="102">
        <v>0</v>
      </c>
      <c r="E299" s="102">
        <v>0</v>
      </c>
      <c r="F299" s="102"/>
      <c r="G299" s="102"/>
      <c r="H299" s="102">
        <v>0</v>
      </c>
      <c r="I299" s="102">
        <v>0</v>
      </c>
      <c r="J299" s="36"/>
      <c r="K299" s="193"/>
      <c r="L299" s="369"/>
    </row>
    <row r="300" spans="1:12" s="14" customFormat="1" ht="19.5" customHeight="1">
      <c r="A300" s="305"/>
      <c r="B300" s="308"/>
      <c r="C300" s="188">
        <v>2018</v>
      </c>
      <c r="D300" s="102">
        <f>I300</f>
        <v>468.108</v>
      </c>
      <c r="E300" s="102">
        <v>0</v>
      </c>
      <c r="F300" s="102"/>
      <c r="G300" s="102"/>
      <c r="H300" s="102">
        <v>0</v>
      </c>
      <c r="I300" s="102">
        <f>58.48+10.428+399.2</f>
        <v>468.108</v>
      </c>
      <c r="J300" s="36"/>
      <c r="K300" s="193" t="s">
        <v>224</v>
      </c>
      <c r="L300" s="369"/>
    </row>
    <row r="301" spans="1:12" s="14" customFormat="1" ht="19.5" customHeight="1">
      <c r="A301" s="305"/>
      <c r="B301" s="308"/>
      <c r="C301" s="188">
        <v>2019</v>
      </c>
      <c r="D301" s="102">
        <v>0</v>
      </c>
      <c r="E301" s="102">
        <v>0</v>
      </c>
      <c r="F301" s="102"/>
      <c r="G301" s="102"/>
      <c r="H301" s="102">
        <v>0</v>
      </c>
      <c r="I301" s="102">
        <v>0</v>
      </c>
      <c r="J301" s="36"/>
      <c r="K301" s="193"/>
      <c r="L301" s="369"/>
    </row>
    <row r="302" spans="1:12" s="14" customFormat="1" ht="19.5" customHeight="1">
      <c r="A302" s="305"/>
      <c r="B302" s="308"/>
      <c r="C302" s="188">
        <v>2020</v>
      </c>
      <c r="D302" s="102">
        <v>0</v>
      </c>
      <c r="E302" s="102">
        <v>0</v>
      </c>
      <c r="F302" s="102"/>
      <c r="G302" s="102"/>
      <c r="H302" s="102">
        <v>0</v>
      </c>
      <c r="I302" s="102">
        <v>0</v>
      </c>
      <c r="J302" s="36"/>
      <c r="K302" s="193"/>
      <c r="L302" s="369"/>
    </row>
    <row r="303" spans="1:12" s="14" customFormat="1" ht="19.5" customHeight="1">
      <c r="A303" s="305"/>
      <c r="B303" s="308"/>
      <c r="C303" s="188">
        <v>2021</v>
      </c>
      <c r="D303" s="102">
        <v>0</v>
      </c>
      <c r="E303" s="102">
        <v>0</v>
      </c>
      <c r="F303" s="102"/>
      <c r="G303" s="102"/>
      <c r="H303" s="102">
        <v>0</v>
      </c>
      <c r="I303" s="102">
        <v>0</v>
      </c>
      <c r="J303" s="36"/>
      <c r="K303" s="193"/>
      <c r="L303" s="369"/>
    </row>
    <row r="304" spans="1:12" s="14" customFormat="1" ht="19.5" customHeight="1">
      <c r="A304" s="305"/>
      <c r="B304" s="308"/>
      <c r="C304" s="188">
        <v>2022</v>
      </c>
      <c r="D304" s="102">
        <v>0</v>
      </c>
      <c r="E304" s="102">
        <v>0</v>
      </c>
      <c r="F304" s="102"/>
      <c r="G304" s="102"/>
      <c r="H304" s="102">
        <v>0</v>
      </c>
      <c r="I304" s="102">
        <v>0</v>
      </c>
      <c r="J304" s="36"/>
      <c r="K304" s="179"/>
      <c r="L304" s="369"/>
    </row>
    <row r="305" spans="1:12" s="14" customFormat="1" ht="19.5" customHeight="1">
      <c r="A305" s="306"/>
      <c r="B305" s="309"/>
      <c r="C305" s="188">
        <v>2023</v>
      </c>
      <c r="D305" s="102">
        <v>0</v>
      </c>
      <c r="E305" s="102"/>
      <c r="F305" s="102"/>
      <c r="G305" s="102"/>
      <c r="H305" s="102"/>
      <c r="I305" s="102">
        <v>0</v>
      </c>
      <c r="J305" s="36"/>
      <c r="K305" s="179"/>
      <c r="L305" s="369"/>
    </row>
    <row r="306" spans="1:12" s="14" customFormat="1" ht="19.5" customHeight="1">
      <c r="A306" s="304" t="s">
        <v>229</v>
      </c>
      <c r="B306" s="307" t="s">
        <v>237</v>
      </c>
      <c r="C306" s="188">
        <v>2017</v>
      </c>
      <c r="D306" s="102">
        <v>0</v>
      </c>
      <c r="E306" s="102">
        <v>0</v>
      </c>
      <c r="F306" s="102"/>
      <c r="G306" s="102"/>
      <c r="H306" s="102">
        <v>0</v>
      </c>
      <c r="I306" s="102">
        <v>0</v>
      </c>
      <c r="J306" s="36"/>
      <c r="K306" s="310" t="s">
        <v>240</v>
      </c>
      <c r="L306" s="369"/>
    </row>
    <row r="307" spans="1:12" s="14" customFormat="1" ht="19.5" customHeight="1">
      <c r="A307" s="305"/>
      <c r="B307" s="308"/>
      <c r="C307" s="188">
        <v>2018</v>
      </c>
      <c r="D307" s="102">
        <v>0</v>
      </c>
      <c r="E307" s="102">
        <v>0</v>
      </c>
      <c r="F307" s="102"/>
      <c r="G307" s="102"/>
      <c r="H307" s="102">
        <v>0</v>
      </c>
      <c r="I307" s="102">
        <v>0</v>
      </c>
      <c r="J307" s="36"/>
      <c r="K307" s="311"/>
      <c r="L307" s="369"/>
    </row>
    <row r="308" spans="1:12" s="14" customFormat="1" ht="19.5" customHeight="1">
      <c r="A308" s="305"/>
      <c r="B308" s="308"/>
      <c r="C308" s="188">
        <v>2019</v>
      </c>
      <c r="D308" s="102">
        <f>I308</f>
        <v>4102.315</v>
      </c>
      <c r="E308" s="102">
        <v>0</v>
      </c>
      <c r="F308" s="102"/>
      <c r="G308" s="102"/>
      <c r="H308" s="102">
        <v>0</v>
      </c>
      <c r="I308" s="102">
        <v>4102.315</v>
      </c>
      <c r="J308" s="97"/>
      <c r="K308" s="311"/>
      <c r="L308" s="369"/>
    </row>
    <row r="309" spans="1:12" s="14" customFormat="1" ht="19.5" customHeight="1">
      <c r="A309" s="305"/>
      <c r="B309" s="308"/>
      <c r="C309" s="188">
        <v>2020</v>
      </c>
      <c r="D309" s="102">
        <v>0</v>
      </c>
      <c r="E309" s="102">
        <v>0</v>
      </c>
      <c r="F309" s="102"/>
      <c r="G309" s="102"/>
      <c r="H309" s="102">
        <v>0</v>
      </c>
      <c r="I309" s="102">
        <v>0</v>
      </c>
      <c r="J309" s="36"/>
      <c r="K309" s="311"/>
      <c r="L309" s="369"/>
    </row>
    <row r="310" spans="1:12" s="14" customFormat="1" ht="19.5" customHeight="1">
      <c r="A310" s="305"/>
      <c r="B310" s="308"/>
      <c r="C310" s="188">
        <v>2021</v>
      </c>
      <c r="D310" s="102">
        <v>0</v>
      </c>
      <c r="E310" s="102">
        <v>0</v>
      </c>
      <c r="F310" s="102"/>
      <c r="G310" s="102"/>
      <c r="H310" s="102">
        <v>0</v>
      </c>
      <c r="I310" s="102">
        <v>0</v>
      </c>
      <c r="J310" s="36"/>
      <c r="K310" s="312"/>
      <c r="L310" s="369"/>
    </row>
    <row r="311" spans="1:12" s="14" customFormat="1" ht="19.5" customHeight="1">
      <c r="A311" s="305"/>
      <c r="B311" s="308"/>
      <c r="C311" s="188">
        <v>2022</v>
      </c>
      <c r="D311" s="102">
        <v>0</v>
      </c>
      <c r="E311" s="102">
        <v>0</v>
      </c>
      <c r="F311" s="102"/>
      <c r="G311" s="102"/>
      <c r="H311" s="102">
        <v>0</v>
      </c>
      <c r="I311" s="102">
        <v>0</v>
      </c>
      <c r="J311" s="36"/>
      <c r="K311" s="174"/>
      <c r="L311" s="369"/>
    </row>
    <row r="312" spans="1:12" s="14" customFormat="1" ht="19.5" customHeight="1">
      <c r="A312" s="306"/>
      <c r="B312" s="309"/>
      <c r="C312" s="188">
        <v>2023</v>
      </c>
      <c r="D312" s="102">
        <v>0</v>
      </c>
      <c r="E312" s="102"/>
      <c r="F312" s="102"/>
      <c r="G312" s="102"/>
      <c r="H312" s="102"/>
      <c r="I312" s="102">
        <v>0</v>
      </c>
      <c r="J312" s="36"/>
      <c r="K312" s="171"/>
      <c r="L312" s="369"/>
    </row>
    <row r="313" spans="1:12" s="14" customFormat="1" ht="19.5" customHeight="1">
      <c r="A313" s="304" t="s">
        <v>230</v>
      </c>
      <c r="B313" s="307" t="s">
        <v>247</v>
      </c>
      <c r="C313" s="188">
        <v>2017</v>
      </c>
      <c r="D313" s="102">
        <v>0</v>
      </c>
      <c r="E313" s="102">
        <v>0</v>
      </c>
      <c r="F313" s="102"/>
      <c r="G313" s="102"/>
      <c r="H313" s="102">
        <v>0</v>
      </c>
      <c r="I313" s="102">
        <v>0</v>
      </c>
      <c r="J313" s="36"/>
      <c r="K313" s="310" t="s">
        <v>240</v>
      </c>
      <c r="L313" s="369"/>
    </row>
    <row r="314" spans="1:12" s="14" customFormat="1" ht="19.5" customHeight="1">
      <c r="A314" s="305"/>
      <c r="B314" s="308"/>
      <c r="C314" s="188">
        <v>2018</v>
      </c>
      <c r="D314" s="102">
        <v>0</v>
      </c>
      <c r="E314" s="102">
        <v>0</v>
      </c>
      <c r="F314" s="102"/>
      <c r="G314" s="102"/>
      <c r="H314" s="102">
        <v>0</v>
      </c>
      <c r="I314" s="102">
        <v>0</v>
      </c>
      <c r="J314" s="36"/>
      <c r="K314" s="311"/>
      <c r="L314" s="369"/>
    </row>
    <row r="315" spans="1:12" s="14" customFormat="1" ht="19.5" customHeight="1">
      <c r="A315" s="305"/>
      <c r="B315" s="308"/>
      <c r="C315" s="188">
        <v>2019</v>
      </c>
      <c r="D315" s="102">
        <f>I315</f>
        <v>545.6</v>
      </c>
      <c r="E315" s="102">
        <v>0</v>
      </c>
      <c r="F315" s="102"/>
      <c r="G315" s="102"/>
      <c r="H315" s="102">
        <v>0</v>
      </c>
      <c r="I315" s="102">
        <v>545.6</v>
      </c>
      <c r="J315" s="36"/>
      <c r="K315" s="311"/>
      <c r="L315" s="369"/>
    </row>
    <row r="316" spans="1:12" s="14" customFormat="1" ht="19.5" customHeight="1">
      <c r="A316" s="305"/>
      <c r="B316" s="308"/>
      <c r="C316" s="188">
        <v>2020</v>
      </c>
      <c r="D316" s="102">
        <v>0</v>
      </c>
      <c r="E316" s="102">
        <v>0</v>
      </c>
      <c r="F316" s="102"/>
      <c r="G316" s="102"/>
      <c r="H316" s="102">
        <v>0</v>
      </c>
      <c r="I316" s="102">
        <v>0</v>
      </c>
      <c r="J316" s="36"/>
      <c r="K316" s="311"/>
      <c r="L316" s="369"/>
    </row>
    <row r="317" spans="1:12" s="14" customFormat="1" ht="19.5" customHeight="1">
      <c r="A317" s="305"/>
      <c r="B317" s="308"/>
      <c r="C317" s="188">
        <v>2021</v>
      </c>
      <c r="D317" s="102">
        <v>0</v>
      </c>
      <c r="E317" s="102">
        <v>0</v>
      </c>
      <c r="F317" s="102"/>
      <c r="G317" s="102"/>
      <c r="H317" s="102">
        <v>0</v>
      </c>
      <c r="I317" s="102">
        <v>0</v>
      </c>
      <c r="J317" s="36"/>
      <c r="K317" s="312"/>
      <c r="L317" s="369"/>
    </row>
    <row r="318" spans="1:12" s="14" customFormat="1" ht="19.5" customHeight="1">
      <c r="A318" s="305"/>
      <c r="B318" s="308"/>
      <c r="C318" s="188">
        <v>2022</v>
      </c>
      <c r="D318" s="102">
        <v>0</v>
      </c>
      <c r="E318" s="102">
        <v>0</v>
      </c>
      <c r="F318" s="102"/>
      <c r="G318" s="102"/>
      <c r="H318" s="102">
        <v>0</v>
      </c>
      <c r="I318" s="102">
        <v>0</v>
      </c>
      <c r="J318" s="36"/>
      <c r="K318" s="174"/>
      <c r="L318" s="369"/>
    </row>
    <row r="319" spans="1:12" s="14" customFormat="1" ht="19.5" customHeight="1">
      <c r="A319" s="306"/>
      <c r="B319" s="309"/>
      <c r="C319" s="188">
        <v>2023</v>
      </c>
      <c r="D319" s="102">
        <v>0</v>
      </c>
      <c r="E319" s="102"/>
      <c r="F319" s="102"/>
      <c r="G319" s="102"/>
      <c r="H319" s="102"/>
      <c r="I319" s="102">
        <v>0</v>
      </c>
      <c r="J319" s="36"/>
      <c r="K319" s="171"/>
      <c r="L319" s="369"/>
    </row>
    <row r="320" spans="1:12" s="14" customFormat="1" ht="19.5" customHeight="1">
      <c r="A320" s="304" t="s">
        <v>231</v>
      </c>
      <c r="B320" s="307" t="s">
        <v>250</v>
      </c>
      <c r="C320" s="188">
        <v>2017</v>
      </c>
      <c r="D320" s="102">
        <v>0</v>
      </c>
      <c r="E320" s="102">
        <v>0</v>
      </c>
      <c r="F320" s="102"/>
      <c r="G320" s="102"/>
      <c r="H320" s="102">
        <v>0</v>
      </c>
      <c r="I320" s="102">
        <v>0</v>
      </c>
      <c r="J320" s="36"/>
      <c r="K320" s="170" t="s">
        <v>49</v>
      </c>
      <c r="L320" s="369"/>
    </row>
    <row r="321" spans="1:12" s="14" customFormat="1" ht="19.5" customHeight="1">
      <c r="A321" s="305"/>
      <c r="B321" s="308"/>
      <c r="C321" s="188">
        <v>2018</v>
      </c>
      <c r="D321" s="102">
        <v>0</v>
      </c>
      <c r="E321" s="102">
        <v>0</v>
      </c>
      <c r="F321" s="102"/>
      <c r="G321" s="102"/>
      <c r="H321" s="102">
        <v>0</v>
      </c>
      <c r="I321" s="102">
        <v>0</v>
      </c>
      <c r="J321" s="36"/>
      <c r="K321" s="171"/>
      <c r="L321" s="369"/>
    </row>
    <row r="322" spans="1:12" s="14" customFormat="1" ht="19.5" customHeight="1">
      <c r="A322" s="305"/>
      <c r="B322" s="308"/>
      <c r="C322" s="188">
        <v>2019</v>
      </c>
      <c r="D322" s="102">
        <f>I322</f>
        <v>158.51999999999998</v>
      </c>
      <c r="E322" s="102">
        <v>0</v>
      </c>
      <c r="F322" s="102"/>
      <c r="G322" s="102"/>
      <c r="H322" s="102">
        <v>0</v>
      </c>
      <c r="I322" s="102">
        <f>175.67-17.15</f>
        <v>158.51999999999998</v>
      </c>
      <c r="J322" s="36"/>
      <c r="K322" s="171"/>
      <c r="L322" s="369"/>
    </row>
    <row r="323" spans="1:12" s="14" customFormat="1" ht="19.5" customHeight="1">
      <c r="A323" s="305"/>
      <c r="B323" s="308"/>
      <c r="C323" s="188">
        <v>2020</v>
      </c>
      <c r="D323" s="102">
        <v>0</v>
      </c>
      <c r="E323" s="102">
        <v>0</v>
      </c>
      <c r="F323" s="102"/>
      <c r="G323" s="102"/>
      <c r="H323" s="102">
        <v>0</v>
      </c>
      <c r="I323" s="102">
        <v>0</v>
      </c>
      <c r="J323" s="36"/>
      <c r="K323" s="171"/>
      <c r="L323" s="369"/>
    </row>
    <row r="324" spans="1:12" s="14" customFormat="1" ht="19.5" customHeight="1">
      <c r="A324" s="305"/>
      <c r="B324" s="308"/>
      <c r="C324" s="188">
        <v>2021</v>
      </c>
      <c r="D324" s="102">
        <v>0</v>
      </c>
      <c r="E324" s="102">
        <v>0</v>
      </c>
      <c r="F324" s="102"/>
      <c r="G324" s="102"/>
      <c r="H324" s="102">
        <v>0</v>
      </c>
      <c r="I324" s="102">
        <v>0</v>
      </c>
      <c r="J324" s="36"/>
      <c r="K324" s="172"/>
      <c r="L324" s="369"/>
    </row>
    <row r="325" spans="1:12" s="14" customFormat="1" ht="19.5" customHeight="1">
      <c r="A325" s="305"/>
      <c r="B325" s="308"/>
      <c r="C325" s="188">
        <v>2022</v>
      </c>
      <c r="D325" s="102">
        <v>0</v>
      </c>
      <c r="E325" s="102">
        <v>0</v>
      </c>
      <c r="F325" s="102"/>
      <c r="G325" s="102"/>
      <c r="H325" s="102">
        <v>0</v>
      </c>
      <c r="I325" s="102">
        <v>0</v>
      </c>
      <c r="J325" s="36"/>
      <c r="K325" s="171"/>
      <c r="L325" s="369"/>
    </row>
    <row r="326" spans="1:12" s="14" customFormat="1" ht="19.5" customHeight="1">
      <c r="A326" s="306"/>
      <c r="B326" s="309"/>
      <c r="C326" s="188">
        <v>2023</v>
      </c>
      <c r="D326" s="102">
        <v>0</v>
      </c>
      <c r="E326" s="102"/>
      <c r="F326" s="102"/>
      <c r="G326" s="102"/>
      <c r="H326" s="102"/>
      <c r="I326" s="102">
        <v>0</v>
      </c>
      <c r="J326" s="36"/>
      <c r="K326" s="171"/>
      <c r="L326" s="369"/>
    </row>
    <row r="327" spans="1:12" s="14" customFormat="1" ht="19.5" customHeight="1">
      <c r="A327" s="304" t="s">
        <v>232</v>
      </c>
      <c r="B327" s="307" t="s">
        <v>245</v>
      </c>
      <c r="C327" s="188">
        <v>2017</v>
      </c>
      <c r="D327" s="102">
        <v>0</v>
      </c>
      <c r="E327" s="102">
        <v>0</v>
      </c>
      <c r="F327" s="102"/>
      <c r="G327" s="102"/>
      <c r="H327" s="102">
        <v>0</v>
      </c>
      <c r="I327" s="102">
        <v>0</v>
      </c>
      <c r="J327" s="36"/>
      <c r="K327" s="310" t="s">
        <v>240</v>
      </c>
      <c r="L327" s="369"/>
    </row>
    <row r="328" spans="1:12" s="14" customFormat="1" ht="19.5" customHeight="1">
      <c r="A328" s="305"/>
      <c r="B328" s="308"/>
      <c r="C328" s="188">
        <v>2018</v>
      </c>
      <c r="D328" s="102">
        <v>0</v>
      </c>
      <c r="E328" s="102">
        <v>0</v>
      </c>
      <c r="F328" s="102"/>
      <c r="G328" s="102"/>
      <c r="H328" s="102">
        <v>0</v>
      </c>
      <c r="I328" s="102">
        <v>0</v>
      </c>
      <c r="J328" s="36"/>
      <c r="K328" s="311"/>
      <c r="L328" s="369"/>
    </row>
    <row r="329" spans="1:12" s="14" customFormat="1" ht="19.5" customHeight="1">
      <c r="A329" s="305"/>
      <c r="B329" s="308"/>
      <c r="C329" s="188">
        <v>2019</v>
      </c>
      <c r="D329" s="102">
        <f>I329</f>
        <v>0</v>
      </c>
      <c r="E329" s="102">
        <v>0</v>
      </c>
      <c r="F329" s="102"/>
      <c r="G329" s="102"/>
      <c r="H329" s="102">
        <v>0</v>
      </c>
      <c r="I329" s="102">
        <v>0</v>
      </c>
      <c r="J329" s="36"/>
      <c r="K329" s="311"/>
      <c r="L329" s="369"/>
    </row>
    <row r="330" spans="1:12" s="14" customFormat="1" ht="19.5" customHeight="1">
      <c r="A330" s="305"/>
      <c r="B330" s="308"/>
      <c r="C330" s="188">
        <v>2020</v>
      </c>
      <c r="D330" s="102">
        <v>0</v>
      </c>
      <c r="E330" s="102">
        <v>0</v>
      </c>
      <c r="F330" s="102"/>
      <c r="G330" s="102"/>
      <c r="H330" s="102">
        <v>0</v>
      </c>
      <c r="I330" s="102">
        <v>0</v>
      </c>
      <c r="J330" s="36"/>
      <c r="K330" s="311"/>
      <c r="L330" s="369"/>
    </row>
    <row r="331" spans="1:12" s="14" customFormat="1" ht="19.5" customHeight="1">
      <c r="A331" s="305"/>
      <c r="B331" s="308"/>
      <c r="C331" s="188">
        <v>2021</v>
      </c>
      <c r="D331" s="102">
        <v>0</v>
      </c>
      <c r="E331" s="102">
        <v>0</v>
      </c>
      <c r="F331" s="102"/>
      <c r="G331" s="102"/>
      <c r="H331" s="102">
        <v>0</v>
      </c>
      <c r="I331" s="102">
        <v>0</v>
      </c>
      <c r="J331" s="36"/>
      <c r="K331" s="312"/>
      <c r="L331" s="369"/>
    </row>
    <row r="332" spans="1:12" s="14" customFormat="1" ht="19.5" customHeight="1">
      <c r="A332" s="305"/>
      <c r="B332" s="308"/>
      <c r="C332" s="188">
        <v>2022</v>
      </c>
      <c r="D332" s="102">
        <v>0</v>
      </c>
      <c r="E332" s="102">
        <v>0</v>
      </c>
      <c r="F332" s="102"/>
      <c r="G332" s="102"/>
      <c r="H332" s="102">
        <v>0</v>
      </c>
      <c r="I332" s="102">
        <v>0</v>
      </c>
      <c r="J332" s="36"/>
      <c r="K332" s="174"/>
      <c r="L332" s="369"/>
    </row>
    <row r="333" spans="1:12" s="14" customFormat="1" ht="19.5" customHeight="1">
      <c r="A333" s="306"/>
      <c r="B333" s="309"/>
      <c r="C333" s="188">
        <v>2023</v>
      </c>
      <c r="D333" s="102">
        <v>0</v>
      </c>
      <c r="E333" s="102"/>
      <c r="F333" s="102"/>
      <c r="G333" s="102"/>
      <c r="H333" s="102"/>
      <c r="I333" s="102">
        <v>0</v>
      </c>
      <c r="J333" s="36"/>
      <c r="K333" s="171"/>
      <c r="L333" s="369"/>
    </row>
    <row r="334" spans="1:12" s="14" customFormat="1" ht="19.5" customHeight="1">
      <c r="A334" s="304" t="s">
        <v>233</v>
      </c>
      <c r="B334" s="307" t="s">
        <v>239</v>
      </c>
      <c r="C334" s="188">
        <v>2017</v>
      </c>
      <c r="D334" s="102">
        <v>0</v>
      </c>
      <c r="E334" s="102">
        <v>0</v>
      </c>
      <c r="F334" s="102"/>
      <c r="G334" s="102"/>
      <c r="H334" s="102">
        <v>0</v>
      </c>
      <c r="I334" s="102">
        <v>0</v>
      </c>
      <c r="J334" s="36"/>
      <c r="K334" s="297" t="s">
        <v>244</v>
      </c>
      <c r="L334" s="369"/>
    </row>
    <row r="335" spans="1:12" s="14" customFormat="1" ht="19.5" customHeight="1">
      <c r="A335" s="305"/>
      <c r="B335" s="308"/>
      <c r="C335" s="188">
        <v>2018</v>
      </c>
      <c r="D335" s="102">
        <v>0</v>
      </c>
      <c r="E335" s="102">
        <v>0</v>
      </c>
      <c r="F335" s="102"/>
      <c r="G335" s="102"/>
      <c r="H335" s="102">
        <v>0</v>
      </c>
      <c r="I335" s="102">
        <v>0</v>
      </c>
      <c r="J335" s="36"/>
      <c r="K335" s="298"/>
      <c r="L335" s="369"/>
    </row>
    <row r="336" spans="1:12" s="14" customFormat="1" ht="19.5" customHeight="1">
      <c r="A336" s="305"/>
      <c r="B336" s="308"/>
      <c r="C336" s="188">
        <v>2019</v>
      </c>
      <c r="D336" s="102">
        <f>I336</f>
        <v>114.425</v>
      </c>
      <c r="E336" s="102">
        <v>0</v>
      </c>
      <c r="F336" s="102"/>
      <c r="G336" s="102"/>
      <c r="H336" s="102">
        <v>0</v>
      </c>
      <c r="I336" s="102">
        <f>130-15.575</f>
        <v>114.425</v>
      </c>
      <c r="J336" s="36"/>
      <c r="K336" s="298"/>
      <c r="L336" s="369"/>
    </row>
    <row r="337" spans="1:12" s="14" customFormat="1" ht="19.5" customHeight="1">
      <c r="A337" s="305"/>
      <c r="B337" s="308"/>
      <c r="C337" s="188">
        <v>2020</v>
      </c>
      <c r="D337" s="102">
        <v>0</v>
      </c>
      <c r="E337" s="102">
        <v>0</v>
      </c>
      <c r="F337" s="102"/>
      <c r="G337" s="102"/>
      <c r="H337" s="102">
        <v>0</v>
      </c>
      <c r="I337" s="102">
        <v>0</v>
      </c>
      <c r="J337" s="36"/>
      <c r="K337" s="298"/>
      <c r="L337" s="369"/>
    </row>
    <row r="338" spans="1:12" s="14" customFormat="1" ht="19.5" customHeight="1">
      <c r="A338" s="305"/>
      <c r="B338" s="308"/>
      <c r="C338" s="188">
        <v>2021</v>
      </c>
      <c r="D338" s="102">
        <v>0</v>
      </c>
      <c r="E338" s="102">
        <v>0</v>
      </c>
      <c r="F338" s="102"/>
      <c r="G338" s="102"/>
      <c r="H338" s="102">
        <v>0</v>
      </c>
      <c r="I338" s="102">
        <v>0</v>
      </c>
      <c r="J338" s="36"/>
      <c r="K338" s="299"/>
      <c r="L338" s="369"/>
    </row>
    <row r="339" spans="1:12" s="14" customFormat="1" ht="19.5" customHeight="1">
      <c r="A339" s="305"/>
      <c r="B339" s="308"/>
      <c r="C339" s="188">
        <v>2022</v>
      </c>
      <c r="D339" s="102">
        <v>0</v>
      </c>
      <c r="E339" s="102">
        <v>0</v>
      </c>
      <c r="F339" s="102"/>
      <c r="G339" s="102"/>
      <c r="H339" s="102">
        <v>0</v>
      </c>
      <c r="I339" s="102">
        <v>0</v>
      </c>
      <c r="J339" s="36"/>
      <c r="K339" s="171"/>
      <c r="L339" s="369"/>
    </row>
    <row r="340" spans="1:12" s="14" customFormat="1" ht="19.5" customHeight="1">
      <c r="A340" s="306"/>
      <c r="B340" s="309"/>
      <c r="C340" s="188">
        <v>2023</v>
      </c>
      <c r="D340" s="102">
        <v>0</v>
      </c>
      <c r="E340" s="102"/>
      <c r="F340" s="102"/>
      <c r="G340" s="102"/>
      <c r="H340" s="102"/>
      <c r="I340" s="102">
        <v>0</v>
      </c>
      <c r="J340" s="36"/>
      <c r="K340" s="171"/>
      <c r="L340" s="369"/>
    </row>
    <row r="341" spans="1:12" s="14" customFormat="1" ht="19.5" customHeight="1">
      <c r="A341" s="304" t="s">
        <v>235</v>
      </c>
      <c r="B341" s="307" t="s">
        <v>238</v>
      </c>
      <c r="C341" s="188">
        <v>2017</v>
      </c>
      <c r="D341" s="102">
        <v>0</v>
      </c>
      <c r="E341" s="102">
        <v>0</v>
      </c>
      <c r="F341" s="102"/>
      <c r="G341" s="102"/>
      <c r="H341" s="102">
        <v>0</v>
      </c>
      <c r="I341" s="102">
        <v>0</v>
      </c>
      <c r="J341" s="36"/>
      <c r="K341" s="297" t="s">
        <v>340</v>
      </c>
      <c r="L341" s="369"/>
    </row>
    <row r="342" spans="1:12" s="14" customFormat="1" ht="19.5" customHeight="1">
      <c r="A342" s="305"/>
      <c r="B342" s="308"/>
      <c r="C342" s="188">
        <v>2018</v>
      </c>
      <c r="D342" s="102">
        <v>0</v>
      </c>
      <c r="E342" s="102">
        <v>0</v>
      </c>
      <c r="F342" s="102"/>
      <c r="G342" s="102"/>
      <c r="H342" s="102">
        <v>0</v>
      </c>
      <c r="I342" s="102">
        <v>0</v>
      </c>
      <c r="J342" s="36"/>
      <c r="K342" s="298"/>
      <c r="L342" s="369"/>
    </row>
    <row r="343" spans="1:12" s="14" customFormat="1" ht="19.5" customHeight="1">
      <c r="A343" s="305"/>
      <c r="B343" s="308"/>
      <c r="C343" s="188">
        <v>2019</v>
      </c>
      <c r="D343" s="102">
        <f>I343</f>
        <v>210</v>
      </c>
      <c r="E343" s="102">
        <v>0</v>
      </c>
      <c r="F343" s="102"/>
      <c r="G343" s="102"/>
      <c r="H343" s="102">
        <v>0</v>
      </c>
      <c r="I343" s="102">
        <v>210</v>
      </c>
      <c r="J343" s="36"/>
      <c r="K343" s="298"/>
      <c r="L343" s="369"/>
    </row>
    <row r="344" spans="1:12" s="14" customFormat="1" ht="19.5" customHeight="1">
      <c r="A344" s="305"/>
      <c r="B344" s="308"/>
      <c r="C344" s="188">
        <v>2020</v>
      </c>
      <c r="D344" s="102">
        <v>0</v>
      </c>
      <c r="E344" s="102">
        <v>0</v>
      </c>
      <c r="F344" s="102"/>
      <c r="G344" s="102"/>
      <c r="H344" s="102">
        <v>0</v>
      </c>
      <c r="I344" s="102">
        <v>0</v>
      </c>
      <c r="J344" s="36"/>
      <c r="K344" s="298"/>
      <c r="L344" s="369"/>
    </row>
    <row r="345" spans="1:12" s="14" customFormat="1" ht="19.5" customHeight="1">
      <c r="A345" s="305"/>
      <c r="B345" s="308"/>
      <c r="C345" s="188">
        <v>2021</v>
      </c>
      <c r="D345" s="102">
        <v>0</v>
      </c>
      <c r="E345" s="102">
        <v>0</v>
      </c>
      <c r="F345" s="102"/>
      <c r="G345" s="102"/>
      <c r="H345" s="102">
        <v>0</v>
      </c>
      <c r="I345" s="102">
        <v>0</v>
      </c>
      <c r="J345" s="36"/>
      <c r="K345" s="299"/>
      <c r="L345" s="369"/>
    </row>
    <row r="346" spans="1:12" s="14" customFormat="1" ht="19.5" customHeight="1">
      <c r="A346" s="305"/>
      <c r="B346" s="308"/>
      <c r="C346" s="188">
        <v>2022</v>
      </c>
      <c r="D346" s="102">
        <v>0</v>
      </c>
      <c r="E346" s="102">
        <v>0</v>
      </c>
      <c r="F346" s="102"/>
      <c r="G346" s="102"/>
      <c r="H346" s="102">
        <v>0</v>
      </c>
      <c r="I346" s="102">
        <v>0</v>
      </c>
      <c r="J346" s="36"/>
      <c r="K346" s="172"/>
      <c r="L346" s="369"/>
    </row>
    <row r="347" spans="1:12" s="14" customFormat="1" ht="19.5" customHeight="1">
      <c r="A347" s="306"/>
      <c r="B347" s="309"/>
      <c r="C347" s="188">
        <v>2023</v>
      </c>
      <c r="D347" s="102">
        <v>0</v>
      </c>
      <c r="E347" s="102"/>
      <c r="F347" s="102"/>
      <c r="G347" s="102"/>
      <c r="H347" s="102"/>
      <c r="I347" s="102">
        <v>0</v>
      </c>
      <c r="J347" s="36"/>
      <c r="K347" s="172"/>
      <c r="L347" s="369"/>
    </row>
    <row r="348" spans="1:12" s="14" customFormat="1" ht="19.5" customHeight="1">
      <c r="A348" s="304" t="s">
        <v>236</v>
      </c>
      <c r="B348" s="297" t="s">
        <v>268</v>
      </c>
      <c r="C348" s="188">
        <v>2017</v>
      </c>
      <c r="D348" s="102">
        <v>0</v>
      </c>
      <c r="E348" s="102">
        <v>0</v>
      </c>
      <c r="F348" s="102"/>
      <c r="G348" s="102"/>
      <c r="H348" s="102">
        <v>0</v>
      </c>
      <c r="I348" s="102">
        <v>0</v>
      </c>
      <c r="J348" s="36"/>
      <c r="K348" s="172"/>
      <c r="L348" s="369"/>
    </row>
    <row r="349" spans="1:12" s="14" customFormat="1" ht="19.5" customHeight="1">
      <c r="A349" s="305"/>
      <c r="B349" s="298"/>
      <c r="C349" s="188">
        <v>2018</v>
      </c>
      <c r="D349" s="102">
        <v>0</v>
      </c>
      <c r="E349" s="102">
        <v>0</v>
      </c>
      <c r="F349" s="102"/>
      <c r="G349" s="102"/>
      <c r="H349" s="102">
        <v>0</v>
      </c>
      <c r="I349" s="102">
        <v>0</v>
      </c>
      <c r="J349" s="36"/>
      <c r="K349" s="172"/>
      <c r="L349" s="369"/>
    </row>
    <row r="350" spans="1:12" s="14" customFormat="1" ht="19.5" customHeight="1">
      <c r="A350" s="305"/>
      <c r="B350" s="298"/>
      <c r="C350" s="188">
        <v>2019</v>
      </c>
      <c r="D350" s="102">
        <f>I350</f>
        <v>999.607</v>
      </c>
      <c r="E350" s="102">
        <v>0</v>
      </c>
      <c r="F350" s="102"/>
      <c r="G350" s="102"/>
      <c r="H350" s="102">
        <v>0</v>
      </c>
      <c r="I350" s="102">
        <f>809.885+190.115-0.393</f>
        <v>999.607</v>
      </c>
      <c r="J350" s="36"/>
      <c r="K350" s="172" t="s">
        <v>55</v>
      </c>
      <c r="L350" s="369"/>
    </row>
    <row r="351" spans="1:12" s="14" customFormat="1" ht="19.5" customHeight="1">
      <c r="A351" s="305"/>
      <c r="B351" s="298"/>
      <c r="C351" s="188">
        <v>2020</v>
      </c>
      <c r="D351" s="102">
        <v>0</v>
      </c>
      <c r="E351" s="102">
        <v>0</v>
      </c>
      <c r="F351" s="102"/>
      <c r="G351" s="102"/>
      <c r="H351" s="102">
        <v>0</v>
      </c>
      <c r="I351" s="102">
        <v>0</v>
      </c>
      <c r="J351" s="36"/>
      <c r="K351" s="172"/>
      <c r="L351" s="369"/>
    </row>
    <row r="352" spans="1:12" s="14" customFormat="1" ht="19.5" customHeight="1">
      <c r="A352" s="305"/>
      <c r="B352" s="298"/>
      <c r="C352" s="188">
        <v>2021</v>
      </c>
      <c r="D352" s="102">
        <v>0</v>
      </c>
      <c r="E352" s="102">
        <v>0</v>
      </c>
      <c r="F352" s="102"/>
      <c r="G352" s="102"/>
      <c r="H352" s="102">
        <v>0</v>
      </c>
      <c r="I352" s="102">
        <v>0</v>
      </c>
      <c r="J352" s="36"/>
      <c r="K352" s="172"/>
      <c r="L352" s="369"/>
    </row>
    <row r="353" spans="1:12" s="14" customFormat="1" ht="19.5" customHeight="1">
      <c r="A353" s="305"/>
      <c r="B353" s="298"/>
      <c r="C353" s="188">
        <v>2022</v>
      </c>
      <c r="D353" s="102">
        <v>0</v>
      </c>
      <c r="E353" s="102">
        <v>0</v>
      </c>
      <c r="F353" s="102"/>
      <c r="G353" s="102"/>
      <c r="H353" s="102">
        <v>0</v>
      </c>
      <c r="I353" s="102">
        <v>0</v>
      </c>
      <c r="J353" s="36"/>
      <c r="K353" s="172"/>
      <c r="L353" s="369"/>
    </row>
    <row r="354" spans="1:12" s="14" customFormat="1" ht="19.5" customHeight="1">
      <c r="A354" s="306"/>
      <c r="B354" s="299"/>
      <c r="C354" s="188">
        <v>2023</v>
      </c>
      <c r="D354" s="102">
        <v>0</v>
      </c>
      <c r="E354" s="102"/>
      <c r="F354" s="102"/>
      <c r="G354" s="102"/>
      <c r="H354" s="102"/>
      <c r="I354" s="102">
        <v>0</v>
      </c>
      <c r="J354" s="36"/>
      <c r="K354" s="172"/>
      <c r="L354" s="369"/>
    </row>
    <row r="355" spans="1:12" s="14" customFormat="1" ht="19.5" customHeight="1">
      <c r="A355" s="304" t="s">
        <v>242</v>
      </c>
      <c r="B355" s="297" t="s">
        <v>279</v>
      </c>
      <c r="C355" s="188">
        <v>2017</v>
      </c>
      <c r="D355" s="102">
        <v>0</v>
      </c>
      <c r="E355" s="102">
        <v>0</v>
      </c>
      <c r="F355" s="102"/>
      <c r="G355" s="102"/>
      <c r="H355" s="102">
        <v>0</v>
      </c>
      <c r="I355" s="102">
        <v>0</v>
      </c>
      <c r="J355" s="36"/>
      <c r="K355" s="172"/>
      <c r="L355" s="369"/>
    </row>
    <row r="356" spans="1:12" s="14" customFormat="1" ht="19.5" customHeight="1">
      <c r="A356" s="305"/>
      <c r="B356" s="298"/>
      <c r="C356" s="188">
        <v>2018</v>
      </c>
      <c r="D356" s="102">
        <v>0</v>
      </c>
      <c r="E356" s="102">
        <v>0</v>
      </c>
      <c r="F356" s="102"/>
      <c r="G356" s="102"/>
      <c r="H356" s="102">
        <v>0</v>
      </c>
      <c r="I356" s="102">
        <v>0</v>
      </c>
      <c r="J356" s="36"/>
      <c r="K356" s="172"/>
      <c r="L356" s="369"/>
    </row>
    <row r="357" spans="1:12" s="14" customFormat="1" ht="19.5" customHeight="1">
      <c r="A357" s="305"/>
      <c r="B357" s="298"/>
      <c r="C357" s="188">
        <v>2019</v>
      </c>
      <c r="D357" s="102">
        <f>I357</f>
        <v>920.73976</v>
      </c>
      <c r="E357" s="102">
        <v>0</v>
      </c>
      <c r="F357" s="102"/>
      <c r="G357" s="102"/>
      <c r="H357" s="102">
        <v>0</v>
      </c>
      <c r="I357" s="102">
        <v>920.73976</v>
      </c>
      <c r="J357" s="36"/>
      <c r="K357" s="172" t="s">
        <v>248</v>
      </c>
      <c r="L357" s="369"/>
    </row>
    <row r="358" spans="1:12" s="14" customFormat="1" ht="19.5" customHeight="1">
      <c r="A358" s="305"/>
      <c r="B358" s="298"/>
      <c r="C358" s="188">
        <v>2020</v>
      </c>
      <c r="D358" s="102">
        <v>0</v>
      </c>
      <c r="E358" s="102">
        <v>0</v>
      </c>
      <c r="F358" s="102"/>
      <c r="G358" s="102"/>
      <c r="H358" s="102">
        <v>0</v>
      </c>
      <c r="I358" s="102">
        <v>0</v>
      </c>
      <c r="J358" s="36"/>
      <c r="K358" s="172"/>
      <c r="L358" s="369"/>
    </row>
    <row r="359" spans="1:12" s="14" customFormat="1" ht="19.5" customHeight="1">
      <c r="A359" s="305"/>
      <c r="B359" s="298"/>
      <c r="C359" s="188">
        <v>2021</v>
      </c>
      <c r="D359" s="102">
        <v>0</v>
      </c>
      <c r="E359" s="102">
        <v>0</v>
      </c>
      <c r="F359" s="102"/>
      <c r="G359" s="102"/>
      <c r="H359" s="102">
        <v>0</v>
      </c>
      <c r="I359" s="102">
        <v>0</v>
      </c>
      <c r="J359" s="36"/>
      <c r="K359" s="172"/>
      <c r="L359" s="369"/>
    </row>
    <row r="360" spans="1:12" s="14" customFormat="1" ht="19.5" customHeight="1">
      <c r="A360" s="305"/>
      <c r="B360" s="298"/>
      <c r="C360" s="188">
        <v>2022</v>
      </c>
      <c r="D360" s="102">
        <v>0</v>
      </c>
      <c r="E360" s="102">
        <v>0</v>
      </c>
      <c r="F360" s="102"/>
      <c r="G360" s="102"/>
      <c r="H360" s="102">
        <v>0</v>
      </c>
      <c r="I360" s="102">
        <v>0</v>
      </c>
      <c r="J360" s="36"/>
      <c r="K360" s="172"/>
      <c r="L360" s="369"/>
    </row>
    <row r="361" spans="1:12" s="14" customFormat="1" ht="19.5" customHeight="1">
      <c r="A361" s="306"/>
      <c r="B361" s="299"/>
      <c r="C361" s="188">
        <v>2023</v>
      </c>
      <c r="D361" s="102">
        <v>0</v>
      </c>
      <c r="E361" s="102"/>
      <c r="F361" s="102"/>
      <c r="G361" s="102"/>
      <c r="H361" s="102"/>
      <c r="I361" s="102">
        <v>0</v>
      </c>
      <c r="J361" s="36"/>
      <c r="K361" s="172"/>
      <c r="L361" s="369"/>
    </row>
    <row r="362" spans="1:12" s="14" customFormat="1" ht="19.5" customHeight="1">
      <c r="A362" s="304" t="s">
        <v>249</v>
      </c>
      <c r="B362" s="297" t="s">
        <v>246</v>
      </c>
      <c r="C362" s="188">
        <v>2017</v>
      </c>
      <c r="D362" s="102">
        <v>0</v>
      </c>
      <c r="E362" s="102">
        <v>0</v>
      </c>
      <c r="F362" s="102"/>
      <c r="G362" s="102"/>
      <c r="H362" s="102">
        <v>0</v>
      </c>
      <c r="I362" s="102">
        <v>0</v>
      </c>
      <c r="J362" s="36"/>
      <c r="K362" s="172"/>
      <c r="L362" s="369"/>
    </row>
    <row r="363" spans="1:12" s="14" customFormat="1" ht="19.5" customHeight="1">
      <c r="A363" s="305"/>
      <c r="B363" s="298"/>
      <c r="C363" s="188">
        <v>2018</v>
      </c>
      <c r="D363" s="102">
        <v>0</v>
      </c>
      <c r="E363" s="102">
        <v>0</v>
      </c>
      <c r="F363" s="102"/>
      <c r="G363" s="102"/>
      <c r="H363" s="102">
        <v>0</v>
      </c>
      <c r="I363" s="102">
        <v>0</v>
      </c>
      <c r="J363" s="36"/>
      <c r="K363" s="172"/>
      <c r="L363" s="369"/>
    </row>
    <row r="364" spans="1:12" s="14" customFormat="1" ht="19.5" customHeight="1">
      <c r="A364" s="305"/>
      <c r="B364" s="298"/>
      <c r="C364" s="188">
        <v>2019</v>
      </c>
      <c r="D364" s="102">
        <f>I364</f>
        <v>164.112</v>
      </c>
      <c r="E364" s="102">
        <v>0</v>
      </c>
      <c r="F364" s="102"/>
      <c r="G364" s="102"/>
      <c r="H364" s="102">
        <v>0</v>
      </c>
      <c r="I364" s="102">
        <v>164.112</v>
      </c>
      <c r="J364" s="36"/>
      <c r="K364" s="175" t="s">
        <v>240</v>
      </c>
      <c r="L364" s="369"/>
    </row>
    <row r="365" spans="1:12" s="14" customFormat="1" ht="19.5" customHeight="1">
      <c r="A365" s="305"/>
      <c r="B365" s="298"/>
      <c r="C365" s="188">
        <v>2020</v>
      </c>
      <c r="D365" s="102">
        <v>0</v>
      </c>
      <c r="E365" s="102">
        <v>0</v>
      </c>
      <c r="F365" s="102"/>
      <c r="G365" s="102"/>
      <c r="H365" s="102">
        <v>0</v>
      </c>
      <c r="I365" s="102">
        <v>0</v>
      </c>
      <c r="J365" s="36"/>
      <c r="K365" s="172"/>
      <c r="L365" s="369"/>
    </row>
    <row r="366" spans="1:12" s="14" customFormat="1" ht="19.5" customHeight="1">
      <c r="A366" s="305"/>
      <c r="B366" s="298"/>
      <c r="C366" s="188">
        <v>2021</v>
      </c>
      <c r="D366" s="102">
        <v>0</v>
      </c>
      <c r="E366" s="102">
        <v>0</v>
      </c>
      <c r="F366" s="102"/>
      <c r="G366" s="102"/>
      <c r="H366" s="102">
        <v>0</v>
      </c>
      <c r="I366" s="102">
        <v>0</v>
      </c>
      <c r="J366" s="36"/>
      <c r="K366" s="172"/>
      <c r="L366" s="369"/>
    </row>
    <row r="367" spans="1:12" s="14" customFormat="1" ht="19.5" customHeight="1">
      <c r="A367" s="305"/>
      <c r="B367" s="298"/>
      <c r="C367" s="188">
        <v>2022</v>
      </c>
      <c r="D367" s="102">
        <v>0</v>
      </c>
      <c r="E367" s="102">
        <v>0</v>
      </c>
      <c r="F367" s="102"/>
      <c r="G367" s="102"/>
      <c r="H367" s="102">
        <v>0</v>
      </c>
      <c r="I367" s="102">
        <v>0</v>
      </c>
      <c r="J367" s="36"/>
      <c r="K367" s="172"/>
      <c r="L367" s="369"/>
    </row>
    <row r="368" spans="1:12" s="14" customFormat="1" ht="19.5" customHeight="1">
      <c r="A368" s="306"/>
      <c r="B368" s="299"/>
      <c r="C368" s="188">
        <v>2023</v>
      </c>
      <c r="D368" s="102">
        <v>0</v>
      </c>
      <c r="E368" s="102"/>
      <c r="F368" s="102"/>
      <c r="G368" s="102"/>
      <c r="H368" s="102"/>
      <c r="I368" s="102">
        <v>0</v>
      </c>
      <c r="J368" s="36"/>
      <c r="K368" s="172"/>
      <c r="L368" s="369"/>
    </row>
    <row r="369" spans="1:12" s="14" customFormat="1" ht="19.5" customHeight="1">
      <c r="A369" s="304" t="s">
        <v>243</v>
      </c>
      <c r="B369" s="297" t="s">
        <v>280</v>
      </c>
      <c r="C369" s="188">
        <v>2017</v>
      </c>
      <c r="D369" s="102">
        <v>0</v>
      </c>
      <c r="E369" s="102">
        <v>0</v>
      </c>
      <c r="F369" s="102"/>
      <c r="G369" s="102"/>
      <c r="H369" s="102">
        <v>0</v>
      </c>
      <c r="I369" s="102">
        <v>0</v>
      </c>
      <c r="J369" s="36"/>
      <c r="K369" s="172"/>
      <c r="L369" s="369"/>
    </row>
    <row r="370" spans="1:12" s="14" customFormat="1" ht="19.5" customHeight="1">
      <c r="A370" s="305"/>
      <c r="B370" s="298"/>
      <c r="C370" s="188">
        <v>2018</v>
      </c>
      <c r="D370" s="102">
        <v>0</v>
      </c>
      <c r="E370" s="102">
        <v>0</v>
      </c>
      <c r="F370" s="102"/>
      <c r="G370" s="102"/>
      <c r="H370" s="102">
        <v>0</v>
      </c>
      <c r="I370" s="102">
        <v>0</v>
      </c>
      <c r="J370" s="36"/>
      <c r="K370" s="172"/>
      <c r="L370" s="369"/>
    </row>
    <row r="371" spans="1:12" s="14" customFormat="1" ht="19.5" customHeight="1">
      <c r="A371" s="305"/>
      <c r="B371" s="298"/>
      <c r="C371" s="188">
        <v>2019</v>
      </c>
      <c r="D371" s="102">
        <f>I371</f>
        <v>0</v>
      </c>
      <c r="E371" s="102">
        <v>0</v>
      </c>
      <c r="F371" s="102"/>
      <c r="G371" s="102"/>
      <c r="H371" s="102">
        <v>0</v>
      </c>
      <c r="I371" s="102">
        <v>0</v>
      </c>
      <c r="J371" s="36"/>
      <c r="K371" s="175" t="s">
        <v>240</v>
      </c>
      <c r="L371" s="369"/>
    </row>
    <row r="372" spans="1:12" s="14" customFormat="1" ht="19.5" customHeight="1">
      <c r="A372" s="305"/>
      <c r="B372" s="298"/>
      <c r="C372" s="188">
        <v>2020</v>
      </c>
      <c r="D372" s="102">
        <v>0</v>
      </c>
      <c r="E372" s="102">
        <v>0</v>
      </c>
      <c r="F372" s="102"/>
      <c r="G372" s="102"/>
      <c r="H372" s="102">
        <v>0</v>
      </c>
      <c r="I372" s="102">
        <v>0</v>
      </c>
      <c r="J372" s="36"/>
      <c r="K372" s="172"/>
      <c r="L372" s="369"/>
    </row>
    <row r="373" spans="1:12" s="14" customFormat="1" ht="19.5" customHeight="1">
      <c r="A373" s="305"/>
      <c r="B373" s="298"/>
      <c r="C373" s="188">
        <v>2021</v>
      </c>
      <c r="D373" s="102">
        <v>0</v>
      </c>
      <c r="E373" s="102">
        <v>0</v>
      </c>
      <c r="F373" s="102"/>
      <c r="G373" s="102"/>
      <c r="H373" s="102">
        <v>0</v>
      </c>
      <c r="I373" s="102">
        <v>0</v>
      </c>
      <c r="J373" s="36"/>
      <c r="K373" s="172"/>
      <c r="L373" s="369"/>
    </row>
    <row r="374" spans="1:12" s="14" customFormat="1" ht="19.5" customHeight="1">
      <c r="A374" s="305"/>
      <c r="B374" s="298"/>
      <c r="C374" s="188">
        <v>2022</v>
      </c>
      <c r="D374" s="102">
        <v>0</v>
      </c>
      <c r="E374" s="102">
        <v>0</v>
      </c>
      <c r="F374" s="102"/>
      <c r="G374" s="102"/>
      <c r="H374" s="102">
        <v>0</v>
      </c>
      <c r="I374" s="102">
        <v>0</v>
      </c>
      <c r="J374" s="36"/>
      <c r="K374" s="172"/>
      <c r="L374" s="369"/>
    </row>
    <row r="375" spans="1:12" s="14" customFormat="1" ht="19.5" customHeight="1">
      <c r="A375" s="306"/>
      <c r="B375" s="299"/>
      <c r="C375" s="188">
        <v>2023</v>
      </c>
      <c r="D375" s="102">
        <v>0</v>
      </c>
      <c r="E375" s="102"/>
      <c r="F375" s="102"/>
      <c r="G375" s="102"/>
      <c r="H375" s="102"/>
      <c r="I375" s="102">
        <v>0</v>
      </c>
      <c r="J375" s="36"/>
      <c r="K375" s="172"/>
      <c r="L375" s="369"/>
    </row>
    <row r="376" spans="1:12" s="14" customFormat="1" ht="19.5" customHeight="1">
      <c r="A376" s="304" t="s">
        <v>257</v>
      </c>
      <c r="B376" s="297" t="s">
        <v>251</v>
      </c>
      <c r="C376" s="188">
        <v>2017</v>
      </c>
      <c r="D376" s="102">
        <v>0</v>
      </c>
      <c r="E376" s="102">
        <v>0</v>
      </c>
      <c r="F376" s="102"/>
      <c r="G376" s="102"/>
      <c r="H376" s="102">
        <v>0</v>
      </c>
      <c r="I376" s="102">
        <v>0</v>
      </c>
      <c r="J376" s="36"/>
      <c r="K376" s="172"/>
      <c r="L376" s="369"/>
    </row>
    <row r="377" spans="1:12" s="14" customFormat="1" ht="19.5" customHeight="1">
      <c r="A377" s="305"/>
      <c r="B377" s="298"/>
      <c r="C377" s="188">
        <v>2018</v>
      </c>
      <c r="D377" s="102">
        <v>0</v>
      </c>
      <c r="E377" s="102">
        <v>0</v>
      </c>
      <c r="F377" s="102"/>
      <c r="G377" s="102"/>
      <c r="H377" s="102">
        <v>0</v>
      </c>
      <c r="I377" s="102">
        <v>0</v>
      </c>
      <c r="J377" s="36"/>
      <c r="K377" s="172"/>
      <c r="L377" s="369"/>
    </row>
    <row r="378" spans="1:12" s="14" customFormat="1" ht="19.5" customHeight="1">
      <c r="A378" s="305"/>
      <c r="B378" s="298"/>
      <c r="C378" s="188">
        <v>2019</v>
      </c>
      <c r="D378" s="102">
        <f>I378</f>
        <v>112.185</v>
      </c>
      <c r="E378" s="102">
        <v>0</v>
      </c>
      <c r="F378" s="102"/>
      <c r="G378" s="102"/>
      <c r="H378" s="102">
        <v>0</v>
      </c>
      <c r="I378" s="102">
        <f>88.345+23.84</f>
        <v>112.185</v>
      </c>
      <c r="J378" s="36"/>
      <c r="K378" s="172" t="s">
        <v>244</v>
      </c>
      <c r="L378" s="369"/>
    </row>
    <row r="379" spans="1:12" s="14" customFormat="1" ht="19.5" customHeight="1">
      <c r="A379" s="305"/>
      <c r="B379" s="298"/>
      <c r="C379" s="188">
        <v>2020</v>
      </c>
      <c r="D379" s="102">
        <v>0</v>
      </c>
      <c r="E379" s="102">
        <v>0</v>
      </c>
      <c r="F379" s="102"/>
      <c r="G379" s="102"/>
      <c r="H379" s="102">
        <v>0</v>
      </c>
      <c r="I379" s="102">
        <v>0</v>
      </c>
      <c r="J379" s="36"/>
      <c r="K379" s="172"/>
      <c r="L379" s="369"/>
    </row>
    <row r="380" spans="1:12" s="14" customFormat="1" ht="19.5" customHeight="1">
      <c r="A380" s="305"/>
      <c r="B380" s="298"/>
      <c r="C380" s="188">
        <v>2021</v>
      </c>
      <c r="D380" s="102">
        <v>0</v>
      </c>
      <c r="E380" s="102">
        <v>0</v>
      </c>
      <c r="F380" s="102"/>
      <c r="G380" s="102"/>
      <c r="H380" s="102">
        <v>0</v>
      </c>
      <c r="I380" s="102">
        <v>0</v>
      </c>
      <c r="J380" s="36"/>
      <c r="K380" s="172"/>
      <c r="L380" s="369"/>
    </row>
    <row r="381" spans="1:12" s="14" customFormat="1" ht="19.5" customHeight="1">
      <c r="A381" s="305"/>
      <c r="B381" s="298"/>
      <c r="C381" s="188">
        <v>2022</v>
      </c>
      <c r="D381" s="102">
        <v>0</v>
      </c>
      <c r="E381" s="102">
        <v>0</v>
      </c>
      <c r="F381" s="102"/>
      <c r="G381" s="102"/>
      <c r="H381" s="102">
        <v>0</v>
      </c>
      <c r="I381" s="102">
        <v>0</v>
      </c>
      <c r="J381" s="36"/>
      <c r="K381" s="172"/>
      <c r="L381" s="369"/>
    </row>
    <row r="382" spans="1:12" s="14" customFormat="1" ht="19.5" customHeight="1">
      <c r="A382" s="306"/>
      <c r="B382" s="299"/>
      <c r="C382" s="188">
        <v>2023</v>
      </c>
      <c r="D382" s="102">
        <v>0</v>
      </c>
      <c r="E382" s="102"/>
      <c r="F382" s="102"/>
      <c r="G382" s="102"/>
      <c r="H382" s="102"/>
      <c r="I382" s="102">
        <v>0</v>
      </c>
      <c r="J382" s="36"/>
      <c r="K382" s="172"/>
      <c r="L382" s="369"/>
    </row>
    <row r="383" spans="1:12" s="14" customFormat="1" ht="19.5" customHeight="1">
      <c r="A383" s="304" t="s">
        <v>258</v>
      </c>
      <c r="B383" s="297" t="s">
        <v>252</v>
      </c>
      <c r="C383" s="188">
        <v>2017</v>
      </c>
      <c r="D383" s="102">
        <v>0</v>
      </c>
      <c r="E383" s="102">
        <v>0</v>
      </c>
      <c r="F383" s="102"/>
      <c r="G383" s="102"/>
      <c r="H383" s="102">
        <v>0</v>
      </c>
      <c r="I383" s="102">
        <v>0</v>
      </c>
      <c r="J383" s="36"/>
      <c r="K383" s="172"/>
      <c r="L383" s="369"/>
    </row>
    <row r="384" spans="1:12" s="14" customFormat="1" ht="19.5" customHeight="1">
      <c r="A384" s="305"/>
      <c r="B384" s="298"/>
      <c r="C384" s="188">
        <v>2018</v>
      </c>
      <c r="D384" s="102">
        <v>0</v>
      </c>
      <c r="E384" s="102">
        <v>0</v>
      </c>
      <c r="F384" s="102"/>
      <c r="G384" s="102"/>
      <c r="H384" s="102">
        <v>0</v>
      </c>
      <c r="I384" s="102">
        <v>0</v>
      </c>
      <c r="J384" s="36"/>
      <c r="K384" s="172"/>
      <c r="L384" s="369"/>
    </row>
    <row r="385" spans="1:12" s="14" customFormat="1" ht="19.5" customHeight="1">
      <c r="A385" s="305"/>
      <c r="B385" s="298"/>
      <c r="C385" s="188">
        <v>2019</v>
      </c>
      <c r="D385" s="102">
        <f>I385</f>
        <v>399</v>
      </c>
      <c r="E385" s="102">
        <v>0</v>
      </c>
      <c r="F385" s="102"/>
      <c r="G385" s="102"/>
      <c r="H385" s="102">
        <v>0</v>
      </c>
      <c r="I385" s="102">
        <v>399</v>
      </c>
      <c r="J385" s="36"/>
      <c r="K385" s="172" t="s">
        <v>169</v>
      </c>
      <c r="L385" s="369"/>
    </row>
    <row r="386" spans="1:12" s="14" customFormat="1" ht="19.5" customHeight="1">
      <c r="A386" s="305"/>
      <c r="B386" s="298"/>
      <c r="C386" s="188">
        <v>2020</v>
      </c>
      <c r="D386" s="102">
        <v>0</v>
      </c>
      <c r="E386" s="102">
        <v>0</v>
      </c>
      <c r="F386" s="102"/>
      <c r="G386" s="102"/>
      <c r="H386" s="102">
        <v>0</v>
      </c>
      <c r="I386" s="102">
        <v>0</v>
      </c>
      <c r="J386" s="36"/>
      <c r="K386" s="172"/>
      <c r="L386" s="369"/>
    </row>
    <row r="387" spans="1:12" s="14" customFormat="1" ht="19.5" customHeight="1">
      <c r="A387" s="305"/>
      <c r="B387" s="298"/>
      <c r="C387" s="188">
        <v>2021</v>
      </c>
      <c r="D387" s="102">
        <v>0</v>
      </c>
      <c r="E387" s="102">
        <v>0</v>
      </c>
      <c r="F387" s="102"/>
      <c r="G387" s="102"/>
      <c r="H387" s="102">
        <v>0</v>
      </c>
      <c r="I387" s="102">
        <v>0</v>
      </c>
      <c r="J387" s="36"/>
      <c r="K387" s="172"/>
      <c r="L387" s="369"/>
    </row>
    <row r="388" spans="1:12" s="14" customFormat="1" ht="19.5" customHeight="1">
      <c r="A388" s="305"/>
      <c r="B388" s="298"/>
      <c r="C388" s="188">
        <v>2022</v>
      </c>
      <c r="D388" s="102">
        <v>0</v>
      </c>
      <c r="E388" s="102">
        <v>0</v>
      </c>
      <c r="F388" s="102"/>
      <c r="G388" s="102"/>
      <c r="H388" s="102">
        <v>0</v>
      </c>
      <c r="I388" s="102">
        <v>0</v>
      </c>
      <c r="J388" s="36"/>
      <c r="K388" s="172"/>
      <c r="L388" s="369"/>
    </row>
    <row r="389" spans="1:12" s="14" customFormat="1" ht="19.5" customHeight="1">
      <c r="A389" s="306"/>
      <c r="B389" s="299"/>
      <c r="C389" s="188">
        <v>2023</v>
      </c>
      <c r="D389" s="102">
        <v>0</v>
      </c>
      <c r="E389" s="102"/>
      <c r="F389" s="102"/>
      <c r="G389" s="102"/>
      <c r="H389" s="102"/>
      <c r="I389" s="102">
        <v>0</v>
      </c>
      <c r="J389" s="36"/>
      <c r="K389" s="172"/>
      <c r="L389" s="369"/>
    </row>
    <row r="390" spans="1:12" s="14" customFormat="1" ht="19.5" customHeight="1">
      <c r="A390" s="304" t="s">
        <v>259</v>
      </c>
      <c r="B390" s="297" t="s">
        <v>281</v>
      </c>
      <c r="C390" s="188">
        <v>2017</v>
      </c>
      <c r="D390" s="102">
        <v>0</v>
      </c>
      <c r="E390" s="102">
        <v>0</v>
      </c>
      <c r="F390" s="102"/>
      <c r="G390" s="102"/>
      <c r="H390" s="102">
        <v>0</v>
      </c>
      <c r="I390" s="102">
        <v>0</v>
      </c>
      <c r="J390" s="36"/>
      <c r="K390" s="172"/>
      <c r="L390" s="369"/>
    </row>
    <row r="391" spans="1:12" s="14" customFormat="1" ht="19.5" customHeight="1">
      <c r="A391" s="305"/>
      <c r="B391" s="298"/>
      <c r="C391" s="188">
        <v>2018</v>
      </c>
      <c r="D391" s="102">
        <v>0</v>
      </c>
      <c r="E391" s="102">
        <v>0</v>
      </c>
      <c r="F391" s="102"/>
      <c r="G391" s="102"/>
      <c r="H391" s="102">
        <v>0</v>
      </c>
      <c r="I391" s="102">
        <v>0</v>
      </c>
      <c r="J391" s="36"/>
      <c r="K391" s="172"/>
      <c r="L391" s="369"/>
    </row>
    <row r="392" spans="1:12" s="14" customFormat="1" ht="19.5" customHeight="1">
      <c r="A392" s="305"/>
      <c r="B392" s="298"/>
      <c r="C392" s="188">
        <v>2019</v>
      </c>
      <c r="D392" s="102">
        <f>I392</f>
        <v>581.71354</v>
      </c>
      <c r="E392" s="102">
        <v>0</v>
      </c>
      <c r="F392" s="102"/>
      <c r="G392" s="102"/>
      <c r="H392" s="102">
        <v>0</v>
      </c>
      <c r="I392" s="102">
        <f>574.4-116.5+170-46.18646</f>
        <v>581.71354</v>
      </c>
      <c r="J392" s="36"/>
      <c r="K392" s="172" t="s">
        <v>49</v>
      </c>
      <c r="L392" s="369"/>
    </row>
    <row r="393" spans="1:12" s="14" customFormat="1" ht="19.5" customHeight="1">
      <c r="A393" s="305"/>
      <c r="B393" s="298"/>
      <c r="C393" s="188">
        <v>2020</v>
      </c>
      <c r="D393" s="102">
        <f>I393</f>
        <v>569.919</v>
      </c>
      <c r="E393" s="102">
        <v>0</v>
      </c>
      <c r="F393" s="102"/>
      <c r="G393" s="102"/>
      <c r="H393" s="102">
        <v>0</v>
      </c>
      <c r="I393" s="102">
        <f>570-0.081</f>
        <v>569.919</v>
      </c>
      <c r="J393" s="36"/>
      <c r="K393" s="172"/>
      <c r="L393" s="369"/>
    </row>
    <row r="394" spans="1:12" s="14" customFormat="1" ht="19.5" customHeight="1">
      <c r="A394" s="305"/>
      <c r="B394" s="298"/>
      <c r="C394" s="188">
        <v>2021</v>
      </c>
      <c r="D394" s="102">
        <f>I394</f>
        <v>300</v>
      </c>
      <c r="E394" s="102">
        <v>0</v>
      </c>
      <c r="F394" s="102"/>
      <c r="G394" s="102"/>
      <c r="H394" s="102">
        <v>0</v>
      </c>
      <c r="I394" s="102">
        <v>300</v>
      </c>
      <c r="J394" s="36"/>
      <c r="K394" s="172"/>
      <c r="L394" s="369"/>
    </row>
    <row r="395" spans="1:12" s="14" customFormat="1" ht="19.5" customHeight="1">
      <c r="A395" s="305"/>
      <c r="B395" s="298"/>
      <c r="C395" s="188">
        <v>2022</v>
      </c>
      <c r="D395" s="102">
        <v>0</v>
      </c>
      <c r="E395" s="102">
        <v>0</v>
      </c>
      <c r="F395" s="102"/>
      <c r="G395" s="102"/>
      <c r="H395" s="102">
        <v>0</v>
      </c>
      <c r="I395" s="102">
        <v>0</v>
      </c>
      <c r="J395" s="36"/>
      <c r="K395" s="172"/>
      <c r="L395" s="369"/>
    </row>
    <row r="396" spans="1:12" s="14" customFormat="1" ht="19.5" customHeight="1">
      <c r="A396" s="306"/>
      <c r="B396" s="299"/>
      <c r="C396" s="188">
        <v>2023</v>
      </c>
      <c r="D396" s="102">
        <v>0</v>
      </c>
      <c r="E396" s="102"/>
      <c r="F396" s="102"/>
      <c r="G396" s="102"/>
      <c r="H396" s="102"/>
      <c r="I396" s="102">
        <v>0</v>
      </c>
      <c r="J396" s="36"/>
      <c r="K396" s="172"/>
      <c r="L396" s="369"/>
    </row>
    <row r="397" spans="1:12" s="14" customFormat="1" ht="19.5" customHeight="1">
      <c r="A397" s="304" t="s">
        <v>260</v>
      </c>
      <c r="B397" s="300" t="s">
        <v>270</v>
      </c>
      <c r="C397" s="188">
        <v>2017</v>
      </c>
      <c r="D397" s="102">
        <v>0</v>
      </c>
      <c r="E397" s="102">
        <v>0</v>
      </c>
      <c r="F397" s="102"/>
      <c r="G397" s="102"/>
      <c r="H397" s="102">
        <v>0</v>
      </c>
      <c r="I397" s="102">
        <v>0</v>
      </c>
      <c r="J397" s="36"/>
      <c r="K397" s="172"/>
      <c r="L397" s="369"/>
    </row>
    <row r="398" spans="1:12" s="14" customFormat="1" ht="19.5" customHeight="1">
      <c r="A398" s="305"/>
      <c r="B398" s="301"/>
      <c r="C398" s="188">
        <v>2018</v>
      </c>
      <c r="D398" s="102">
        <v>0</v>
      </c>
      <c r="E398" s="102">
        <v>0</v>
      </c>
      <c r="F398" s="102"/>
      <c r="G398" s="102"/>
      <c r="H398" s="102">
        <v>0</v>
      </c>
      <c r="I398" s="102">
        <v>0</v>
      </c>
      <c r="J398" s="36"/>
      <c r="K398" s="172"/>
      <c r="L398" s="369"/>
    </row>
    <row r="399" spans="1:12" s="14" customFormat="1" ht="19.5" customHeight="1">
      <c r="A399" s="305"/>
      <c r="B399" s="301"/>
      <c r="C399" s="188">
        <v>2019</v>
      </c>
      <c r="D399" s="102">
        <f>I399</f>
        <v>273.154</v>
      </c>
      <c r="E399" s="102"/>
      <c r="F399" s="102"/>
      <c r="G399" s="102"/>
      <c r="H399" s="102"/>
      <c r="I399" s="102">
        <v>273.154</v>
      </c>
      <c r="J399" s="36"/>
      <c r="K399" s="172" t="s">
        <v>253</v>
      </c>
      <c r="L399" s="369"/>
    </row>
    <row r="400" spans="1:12" s="14" customFormat="1" ht="19.5" customHeight="1">
      <c r="A400" s="305"/>
      <c r="B400" s="301"/>
      <c r="C400" s="188">
        <v>2020</v>
      </c>
      <c r="D400" s="102">
        <v>0</v>
      </c>
      <c r="E400" s="102">
        <v>0</v>
      </c>
      <c r="F400" s="102"/>
      <c r="G400" s="102"/>
      <c r="H400" s="102">
        <v>0</v>
      </c>
      <c r="I400" s="102">
        <v>0</v>
      </c>
      <c r="J400" s="36"/>
      <c r="K400" s="172"/>
      <c r="L400" s="369"/>
    </row>
    <row r="401" spans="1:12" s="14" customFormat="1" ht="19.5" customHeight="1">
      <c r="A401" s="305"/>
      <c r="B401" s="301"/>
      <c r="C401" s="188">
        <v>2021</v>
      </c>
      <c r="D401" s="102">
        <v>0</v>
      </c>
      <c r="E401" s="102">
        <v>0</v>
      </c>
      <c r="F401" s="102"/>
      <c r="G401" s="102"/>
      <c r="H401" s="102">
        <v>0</v>
      </c>
      <c r="I401" s="102">
        <v>0</v>
      </c>
      <c r="J401" s="36"/>
      <c r="K401" s="172"/>
      <c r="L401" s="369"/>
    </row>
    <row r="402" spans="1:12" s="14" customFormat="1" ht="19.5" customHeight="1">
      <c r="A402" s="305"/>
      <c r="B402" s="301"/>
      <c r="C402" s="188">
        <v>2022</v>
      </c>
      <c r="D402" s="102">
        <v>0</v>
      </c>
      <c r="E402" s="102"/>
      <c r="F402" s="102"/>
      <c r="G402" s="102"/>
      <c r="H402" s="102"/>
      <c r="I402" s="102">
        <v>0</v>
      </c>
      <c r="J402" s="36"/>
      <c r="K402" s="172"/>
      <c r="L402" s="369"/>
    </row>
    <row r="403" spans="1:12" s="14" customFormat="1" ht="19.5" customHeight="1">
      <c r="A403" s="306"/>
      <c r="B403" s="302"/>
      <c r="C403" s="188">
        <v>2023</v>
      </c>
      <c r="D403" s="102">
        <v>0</v>
      </c>
      <c r="E403" s="102"/>
      <c r="F403" s="102"/>
      <c r="G403" s="102"/>
      <c r="H403" s="102"/>
      <c r="I403" s="102">
        <v>0</v>
      </c>
      <c r="J403" s="36"/>
      <c r="K403" s="172"/>
      <c r="L403" s="369"/>
    </row>
    <row r="404" spans="1:12" s="14" customFormat="1" ht="19.5" customHeight="1">
      <c r="A404" s="304" t="s">
        <v>261</v>
      </c>
      <c r="B404" s="297" t="s">
        <v>271</v>
      </c>
      <c r="C404" s="188">
        <v>2017</v>
      </c>
      <c r="D404" s="102">
        <v>0</v>
      </c>
      <c r="E404" s="102">
        <v>0</v>
      </c>
      <c r="F404" s="102"/>
      <c r="G404" s="102"/>
      <c r="H404" s="102">
        <v>0</v>
      </c>
      <c r="I404" s="102">
        <v>0</v>
      </c>
      <c r="J404" s="36"/>
      <c r="K404" s="172"/>
      <c r="L404" s="369"/>
    </row>
    <row r="405" spans="1:12" s="14" customFormat="1" ht="19.5" customHeight="1">
      <c r="A405" s="305"/>
      <c r="B405" s="298"/>
      <c r="C405" s="188">
        <v>2018</v>
      </c>
      <c r="D405" s="102">
        <v>0</v>
      </c>
      <c r="E405" s="102">
        <v>0</v>
      </c>
      <c r="F405" s="102"/>
      <c r="G405" s="102"/>
      <c r="H405" s="102">
        <v>0</v>
      </c>
      <c r="I405" s="102">
        <v>0</v>
      </c>
      <c r="J405" s="36"/>
      <c r="K405" s="172"/>
      <c r="L405" s="369"/>
    </row>
    <row r="406" spans="1:12" s="14" customFormat="1" ht="19.5" customHeight="1">
      <c r="A406" s="305"/>
      <c r="B406" s="298"/>
      <c r="C406" s="188">
        <v>2019</v>
      </c>
      <c r="D406" s="102">
        <f>I406</f>
        <v>43.896</v>
      </c>
      <c r="E406" s="102"/>
      <c r="F406" s="102"/>
      <c r="G406" s="102"/>
      <c r="H406" s="102"/>
      <c r="I406" s="102">
        <f>60-16.104</f>
        <v>43.896</v>
      </c>
      <c r="J406" s="36"/>
      <c r="K406" s="172" t="s">
        <v>49</v>
      </c>
      <c r="L406" s="369"/>
    </row>
    <row r="407" spans="1:12" s="14" customFormat="1" ht="19.5" customHeight="1">
      <c r="A407" s="305"/>
      <c r="B407" s="298"/>
      <c r="C407" s="188">
        <v>2020</v>
      </c>
      <c r="D407" s="102">
        <v>0</v>
      </c>
      <c r="E407" s="102">
        <v>0</v>
      </c>
      <c r="F407" s="102"/>
      <c r="G407" s="102"/>
      <c r="H407" s="102">
        <v>0</v>
      </c>
      <c r="I407" s="102">
        <v>0</v>
      </c>
      <c r="J407" s="36"/>
      <c r="K407" s="172"/>
      <c r="L407" s="369"/>
    </row>
    <row r="408" spans="1:12" s="14" customFormat="1" ht="19.5" customHeight="1">
      <c r="A408" s="305"/>
      <c r="B408" s="298"/>
      <c r="C408" s="188">
        <v>2021</v>
      </c>
      <c r="D408" s="102">
        <v>0</v>
      </c>
      <c r="E408" s="102">
        <v>0</v>
      </c>
      <c r="F408" s="102"/>
      <c r="G408" s="102"/>
      <c r="H408" s="102">
        <v>0</v>
      </c>
      <c r="I408" s="102">
        <v>0</v>
      </c>
      <c r="J408" s="36"/>
      <c r="K408" s="172"/>
      <c r="L408" s="369"/>
    </row>
    <row r="409" spans="1:12" s="14" customFormat="1" ht="19.5" customHeight="1">
      <c r="A409" s="305"/>
      <c r="B409" s="298"/>
      <c r="C409" s="188">
        <v>2022</v>
      </c>
      <c r="D409" s="102">
        <v>0</v>
      </c>
      <c r="E409" s="102">
        <v>0</v>
      </c>
      <c r="F409" s="102"/>
      <c r="G409" s="102"/>
      <c r="H409" s="102">
        <v>0</v>
      </c>
      <c r="I409" s="102">
        <v>0</v>
      </c>
      <c r="J409" s="36"/>
      <c r="K409" s="172"/>
      <c r="L409" s="369"/>
    </row>
    <row r="410" spans="1:12" s="14" customFormat="1" ht="19.5" customHeight="1">
      <c r="A410" s="306"/>
      <c r="B410" s="299"/>
      <c r="C410" s="188">
        <v>2023</v>
      </c>
      <c r="D410" s="102">
        <v>0</v>
      </c>
      <c r="E410" s="102"/>
      <c r="F410" s="102"/>
      <c r="G410" s="102"/>
      <c r="H410" s="102"/>
      <c r="I410" s="102">
        <v>0</v>
      </c>
      <c r="J410" s="36"/>
      <c r="K410" s="172"/>
      <c r="L410" s="369"/>
    </row>
    <row r="411" spans="1:12" s="14" customFormat="1" ht="19.5" customHeight="1">
      <c r="A411" s="304" t="s">
        <v>262</v>
      </c>
      <c r="B411" s="297" t="s">
        <v>282</v>
      </c>
      <c r="C411" s="188">
        <v>2017</v>
      </c>
      <c r="D411" s="102">
        <v>0</v>
      </c>
      <c r="E411" s="102">
        <v>0</v>
      </c>
      <c r="F411" s="102"/>
      <c r="G411" s="102"/>
      <c r="H411" s="102">
        <v>0</v>
      </c>
      <c r="I411" s="102">
        <v>0</v>
      </c>
      <c r="J411" s="36"/>
      <c r="K411" s="172"/>
      <c r="L411" s="369"/>
    </row>
    <row r="412" spans="1:12" s="14" customFormat="1" ht="19.5" customHeight="1">
      <c r="A412" s="305"/>
      <c r="B412" s="298"/>
      <c r="C412" s="188">
        <v>2018</v>
      </c>
      <c r="D412" s="102">
        <v>0</v>
      </c>
      <c r="E412" s="102">
        <v>0</v>
      </c>
      <c r="F412" s="102"/>
      <c r="G412" s="102"/>
      <c r="H412" s="102">
        <v>0</v>
      </c>
      <c r="I412" s="102">
        <v>0</v>
      </c>
      <c r="J412" s="36"/>
      <c r="K412" s="172"/>
      <c r="L412" s="369"/>
    </row>
    <row r="413" spans="1:12" s="14" customFormat="1" ht="19.5" customHeight="1">
      <c r="A413" s="305"/>
      <c r="B413" s="298"/>
      <c r="C413" s="188">
        <v>2019</v>
      </c>
      <c r="D413" s="102">
        <f>I413</f>
        <v>83.94</v>
      </c>
      <c r="E413" s="102"/>
      <c r="F413" s="102"/>
      <c r="G413" s="102"/>
      <c r="H413" s="102"/>
      <c r="I413" s="102">
        <v>83.94</v>
      </c>
      <c r="J413" s="36"/>
      <c r="K413" s="172" t="s">
        <v>169</v>
      </c>
      <c r="L413" s="369"/>
    </row>
    <row r="414" spans="1:12" s="14" customFormat="1" ht="19.5" customHeight="1">
      <c r="A414" s="305"/>
      <c r="B414" s="298"/>
      <c r="C414" s="188">
        <v>2020</v>
      </c>
      <c r="D414" s="102">
        <v>0</v>
      </c>
      <c r="E414" s="102">
        <v>0</v>
      </c>
      <c r="F414" s="102"/>
      <c r="G414" s="102"/>
      <c r="H414" s="102">
        <v>0</v>
      </c>
      <c r="I414" s="102">
        <v>0</v>
      </c>
      <c r="J414" s="36"/>
      <c r="K414" s="172"/>
      <c r="L414" s="369"/>
    </row>
    <row r="415" spans="1:12" s="14" customFormat="1" ht="19.5" customHeight="1">
      <c r="A415" s="305"/>
      <c r="B415" s="298"/>
      <c r="C415" s="188">
        <v>2021</v>
      </c>
      <c r="D415" s="102">
        <v>0</v>
      </c>
      <c r="E415" s="102">
        <v>0</v>
      </c>
      <c r="F415" s="102"/>
      <c r="G415" s="102"/>
      <c r="H415" s="102">
        <v>0</v>
      </c>
      <c r="I415" s="102">
        <v>0</v>
      </c>
      <c r="J415" s="36"/>
      <c r="K415" s="172"/>
      <c r="L415" s="369"/>
    </row>
    <row r="416" spans="1:12" s="14" customFormat="1" ht="19.5" customHeight="1">
      <c r="A416" s="305"/>
      <c r="B416" s="298"/>
      <c r="C416" s="188">
        <v>2022</v>
      </c>
      <c r="D416" s="102">
        <v>0</v>
      </c>
      <c r="E416" s="102">
        <v>0</v>
      </c>
      <c r="F416" s="102"/>
      <c r="G416" s="102"/>
      <c r="H416" s="102">
        <v>0</v>
      </c>
      <c r="I416" s="102">
        <v>0</v>
      </c>
      <c r="J416" s="36"/>
      <c r="K416" s="172"/>
      <c r="L416" s="369"/>
    </row>
    <row r="417" spans="1:12" s="14" customFormat="1" ht="19.5" customHeight="1">
      <c r="A417" s="306"/>
      <c r="B417" s="299"/>
      <c r="C417" s="188">
        <v>2023</v>
      </c>
      <c r="D417" s="102">
        <v>0</v>
      </c>
      <c r="E417" s="102"/>
      <c r="F417" s="102"/>
      <c r="G417" s="102"/>
      <c r="H417" s="102"/>
      <c r="I417" s="102">
        <v>0</v>
      </c>
      <c r="J417" s="36"/>
      <c r="K417" s="172"/>
      <c r="L417" s="369"/>
    </row>
    <row r="418" spans="1:12" s="14" customFormat="1" ht="19.5" customHeight="1">
      <c r="A418" s="304" t="s">
        <v>263</v>
      </c>
      <c r="B418" s="297" t="s">
        <v>283</v>
      </c>
      <c r="C418" s="188">
        <v>2017</v>
      </c>
      <c r="D418" s="102">
        <v>0</v>
      </c>
      <c r="E418" s="102">
        <v>0</v>
      </c>
      <c r="F418" s="102"/>
      <c r="G418" s="102"/>
      <c r="H418" s="102">
        <v>0</v>
      </c>
      <c r="I418" s="102">
        <v>0</v>
      </c>
      <c r="J418" s="36"/>
      <c r="K418" s="172"/>
      <c r="L418" s="369"/>
    </row>
    <row r="419" spans="1:12" s="14" customFormat="1" ht="19.5" customHeight="1">
      <c r="A419" s="305"/>
      <c r="B419" s="298"/>
      <c r="C419" s="188">
        <v>2018</v>
      </c>
      <c r="D419" s="102">
        <v>0</v>
      </c>
      <c r="E419" s="102">
        <v>0</v>
      </c>
      <c r="F419" s="102"/>
      <c r="G419" s="102"/>
      <c r="H419" s="102">
        <v>0</v>
      </c>
      <c r="I419" s="102">
        <v>0</v>
      </c>
      <c r="J419" s="36"/>
      <c r="K419" s="172"/>
      <c r="L419" s="369"/>
    </row>
    <row r="420" spans="1:12" s="14" customFormat="1" ht="19.5" customHeight="1">
      <c r="A420" s="305"/>
      <c r="B420" s="298"/>
      <c r="C420" s="188">
        <v>2019</v>
      </c>
      <c r="D420" s="102">
        <f>I420</f>
        <v>319.93</v>
      </c>
      <c r="E420" s="102"/>
      <c r="F420" s="102"/>
      <c r="G420" s="102"/>
      <c r="H420" s="102"/>
      <c r="I420" s="102">
        <f>50+210+100-0.029-0.041-40</f>
        <v>319.93</v>
      </c>
      <c r="J420" s="36"/>
      <c r="K420" s="172" t="s">
        <v>340</v>
      </c>
      <c r="L420" s="369"/>
    </row>
    <row r="421" spans="1:12" s="14" customFormat="1" ht="19.5" customHeight="1">
      <c r="A421" s="305"/>
      <c r="B421" s="298"/>
      <c r="C421" s="188">
        <v>2020</v>
      </c>
      <c r="D421" s="102">
        <v>0</v>
      </c>
      <c r="E421" s="102">
        <v>0</v>
      </c>
      <c r="F421" s="102"/>
      <c r="G421" s="102"/>
      <c r="H421" s="102">
        <v>0</v>
      </c>
      <c r="I421" s="102">
        <v>0</v>
      </c>
      <c r="J421" s="36"/>
      <c r="K421" s="172"/>
      <c r="L421" s="369"/>
    </row>
    <row r="422" spans="1:12" s="14" customFormat="1" ht="19.5" customHeight="1">
      <c r="A422" s="305"/>
      <c r="B422" s="298"/>
      <c r="C422" s="188">
        <v>2021</v>
      </c>
      <c r="D422" s="102">
        <v>0</v>
      </c>
      <c r="E422" s="102">
        <v>0</v>
      </c>
      <c r="F422" s="102"/>
      <c r="G422" s="102"/>
      <c r="H422" s="102">
        <v>0</v>
      </c>
      <c r="I422" s="102">
        <v>0</v>
      </c>
      <c r="J422" s="36"/>
      <c r="K422" s="172"/>
      <c r="L422" s="369"/>
    </row>
    <row r="423" spans="1:12" s="14" customFormat="1" ht="19.5" customHeight="1">
      <c r="A423" s="305"/>
      <c r="B423" s="298"/>
      <c r="C423" s="188">
        <v>2022</v>
      </c>
      <c r="D423" s="102">
        <v>0</v>
      </c>
      <c r="E423" s="102">
        <v>0</v>
      </c>
      <c r="F423" s="102"/>
      <c r="G423" s="102"/>
      <c r="H423" s="102">
        <v>0</v>
      </c>
      <c r="I423" s="102">
        <v>0</v>
      </c>
      <c r="J423" s="36"/>
      <c r="K423" s="172"/>
      <c r="L423" s="369"/>
    </row>
    <row r="424" spans="1:12" s="14" customFormat="1" ht="19.5" customHeight="1">
      <c r="A424" s="306"/>
      <c r="B424" s="299"/>
      <c r="C424" s="188">
        <v>2023</v>
      </c>
      <c r="D424" s="102">
        <v>0</v>
      </c>
      <c r="E424" s="102"/>
      <c r="F424" s="102"/>
      <c r="G424" s="102"/>
      <c r="H424" s="102"/>
      <c r="I424" s="102">
        <v>0</v>
      </c>
      <c r="J424" s="36"/>
      <c r="K424" s="172"/>
      <c r="L424" s="369"/>
    </row>
    <row r="425" spans="1:12" s="14" customFormat="1" ht="19.5" customHeight="1">
      <c r="A425" s="304" t="s">
        <v>264</v>
      </c>
      <c r="B425" s="297" t="s">
        <v>284</v>
      </c>
      <c r="C425" s="188">
        <v>2017</v>
      </c>
      <c r="D425" s="102">
        <v>0</v>
      </c>
      <c r="E425" s="102">
        <v>0</v>
      </c>
      <c r="F425" s="102"/>
      <c r="G425" s="102"/>
      <c r="H425" s="102">
        <v>0</v>
      </c>
      <c r="I425" s="102">
        <v>0</v>
      </c>
      <c r="J425" s="36"/>
      <c r="K425" s="172"/>
      <c r="L425" s="369"/>
    </row>
    <row r="426" spans="1:12" s="14" customFormat="1" ht="19.5" customHeight="1">
      <c r="A426" s="305"/>
      <c r="B426" s="298"/>
      <c r="C426" s="188">
        <v>2018</v>
      </c>
      <c r="D426" s="102">
        <v>0</v>
      </c>
      <c r="E426" s="102">
        <v>0</v>
      </c>
      <c r="F426" s="102"/>
      <c r="G426" s="102"/>
      <c r="H426" s="102">
        <v>0</v>
      </c>
      <c r="I426" s="102">
        <v>0</v>
      </c>
      <c r="J426" s="36"/>
      <c r="K426" s="172"/>
      <c r="L426" s="369"/>
    </row>
    <row r="427" spans="1:12" s="14" customFormat="1" ht="19.5" customHeight="1">
      <c r="A427" s="305"/>
      <c r="B427" s="298"/>
      <c r="C427" s="188">
        <v>2019</v>
      </c>
      <c r="D427" s="102">
        <f>I427</f>
        <v>39.9</v>
      </c>
      <c r="E427" s="102"/>
      <c r="F427" s="102"/>
      <c r="G427" s="102"/>
      <c r="H427" s="102"/>
      <c r="I427" s="102">
        <f>40-0.1</f>
        <v>39.9</v>
      </c>
      <c r="J427" s="36"/>
      <c r="K427" s="172" t="s">
        <v>340</v>
      </c>
      <c r="L427" s="369"/>
    </row>
    <row r="428" spans="1:12" s="14" customFormat="1" ht="19.5" customHeight="1">
      <c r="A428" s="305"/>
      <c r="B428" s="298"/>
      <c r="C428" s="188">
        <v>2020</v>
      </c>
      <c r="D428" s="102">
        <v>0</v>
      </c>
      <c r="E428" s="102">
        <v>0</v>
      </c>
      <c r="F428" s="102"/>
      <c r="G428" s="102"/>
      <c r="H428" s="102">
        <v>0</v>
      </c>
      <c r="I428" s="102">
        <v>0</v>
      </c>
      <c r="J428" s="36"/>
      <c r="K428" s="172"/>
      <c r="L428" s="369"/>
    </row>
    <row r="429" spans="1:12" s="14" customFormat="1" ht="19.5" customHeight="1">
      <c r="A429" s="305"/>
      <c r="B429" s="298"/>
      <c r="C429" s="188">
        <v>2021</v>
      </c>
      <c r="D429" s="102">
        <v>0</v>
      </c>
      <c r="E429" s="102">
        <v>0</v>
      </c>
      <c r="F429" s="102"/>
      <c r="G429" s="102"/>
      <c r="H429" s="102">
        <v>0</v>
      </c>
      <c r="I429" s="102">
        <v>0</v>
      </c>
      <c r="J429" s="36"/>
      <c r="K429" s="172"/>
      <c r="L429" s="369"/>
    </row>
    <row r="430" spans="1:12" s="14" customFormat="1" ht="19.5" customHeight="1">
      <c r="A430" s="305"/>
      <c r="B430" s="298"/>
      <c r="C430" s="188">
        <v>2022</v>
      </c>
      <c r="D430" s="102">
        <v>0</v>
      </c>
      <c r="E430" s="102">
        <v>0</v>
      </c>
      <c r="F430" s="102"/>
      <c r="G430" s="102"/>
      <c r="H430" s="102">
        <v>0</v>
      </c>
      <c r="I430" s="102">
        <v>0</v>
      </c>
      <c r="J430" s="36"/>
      <c r="K430" s="172"/>
      <c r="L430" s="369"/>
    </row>
    <row r="431" spans="1:12" s="14" customFormat="1" ht="19.5" customHeight="1">
      <c r="A431" s="306"/>
      <c r="B431" s="299"/>
      <c r="C431" s="188">
        <v>2023</v>
      </c>
      <c r="D431" s="102">
        <v>0</v>
      </c>
      <c r="E431" s="102"/>
      <c r="F431" s="102"/>
      <c r="G431" s="102"/>
      <c r="H431" s="102"/>
      <c r="I431" s="102">
        <v>0</v>
      </c>
      <c r="J431" s="36"/>
      <c r="K431" s="172"/>
      <c r="L431" s="369"/>
    </row>
    <row r="432" spans="1:12" s="14" customFormat="1" ht="19.5" customHeight="1">
      <c r="A432" s="304" t="s">
        <v>265</v>
      </c>
      <c r="B432" s="297" t="s">
        <v>285</v>
      </c>
      <c r="C432" s="188">
        <v>2017</v>
      </c>
      <c r="D432" s="102">
        <v>0</v>
      </c>
      <c r="E432" s="102">
        <v>0</v>
      </c>
      <c r="F432" s="102"/>
      <c r="G432" s="102"/>
      <c r="H432" s="102">
        <v>0</v>
      </c>
      <c r="I432" s="102">
        <v>0</v>
      </c>
      <c r="J432" s="36"/>
      <c r="K432" s="172"/>
      <c r="L432" s="369"/>
    </row>
    <row r="433" spans="1:12" s="14" customFormat="1" ht="19.5" customHeight="1">
      <c r="A433" s="305"/>
      <c r="B433" s="298"/>
      <c r="C433" s="188">
        <v>2018</v>
      </c>
      <c r="D433" s="102">
        <v>0</v>
      </c>
      <c r="E433" s="102">
        <v>0</v>
      </c>
      <c r="F433" s="102"/>
      <c r="G433" s="102"/>
      <c r="H433" s="102">
        <v>0</v>
      </c>
      <c r="I433" s="102">
        <v>0</v>
      </c>
      <c r="J433" s="36"/>
      <c r="K433" s="172"/>
      <c r="L433" s="369"/>
    </row>
    <row r="434" spans="1:12" s="14" customFormat="1" ht="19.5" customHeight="1">
      <c r="A434" s="305"/>
      <c r="B434" s="298"/>
      <c r="C434" s="188">
        <v>2019</v>
      </c>
      <c r="D434" s="102">
        <f>I434</f>
        <v>99.891</v>
      </c>
      <c r="E434" s="102"/>
      <c r="F434" s="102"/>
      <c r="G434" s="102"/>
      <c r="H434" s="102"/>
      <c r="I434" s="102">
        <f>100-0.109</f>
        <v>99.891</v>
      </c>
      <c r="J434" s="36"/>
      <c r="K434" s="172" t="s">
        <v>340</v>
      </c>
      <c r="L434" s="369"/>
    </row>
    <row r="435" spans="1:12" s="14" customFormat="1" ht="19.5" customHeight="1">
      <c r="A435" s="305"/>
      <c r="B435" s="298"/>
      <c r="C435" s="188">
        <v>2020</v>
      </c>
      <c r="D435" s="102">
        <v>0</v>
      </c>
      <c r="E435" s="102">
        <v>0</v>
      </c>
      <c r="F435" s="102"/>
      <c r="G435" s="102"/>
      <c r="H435" s="102">
        <v>0</v>
      </c>
      <c r="I435" s="102">
        <v>0</v>
      </c>
      <c r="J435" s="36"/>
      <c r="K435" s="172"/>
      <c r="L435" s="369"/>
    </row>
    <row r="436" spans="1:12" s="14" customFormat="1" ht="19.5" customHeight="1">
      <c r="A436" s="305"/>
      <c r="B436" s="298"/>
      <c r="C436" s="188">
        <v>2021</v>
      </c>
      <c r="D436" s="102">
        <v>0</v>
      </c>
      <c r="E436" s="102">
        <v>0</v>
      </c>
      <c r="F436" s="102"/>
      <c r="G436" s="102"/>
      <c r="H436" s="102">
        <v>0</v>
      </c>
      <c r="I436" s="102">
        <v>0</v>
      </c>
      <c r="J436" s="36"/>
      <c r="K436" s="172"/>
      <c r="L436" s="369"/>
    </row>
    <row r="437" spans="1:12" s="14" customFormat="1" ht="19.5" customHeight="1">
      <c r="A437" s="305"/>
      <c r="B437" s="298"/>
      <c r="C437" s="188">
        <v>2022</v>
      </c>
      <c r="D437" s="102">
        <v>0</v>
      </c>
      <c r="E437" s="102">
        <v>0</v>
      </c>
      <c r="F437" s="102"/>
      <c r="G437" s="102"/>
      <c r="H437" s="102">
        <v>0</v>
      </c>
      <c r="I437" s="102">
        <v>0</v>
      </c>
      <c r="J437" s="36"/>
      <c r="K437" s="172"/>
      <c r="L437" s="369"/>
    </row>
    <row r="438" spans="1:12" s="14" customFormat="1" ht="19.5" customHeight="1">
      <c r="A438" s="306"/>
      <c r="B438" s="299"/>
      <c r="C438" s="188">
        <v>2023</v>
      </c>
      <c r="D438" s="102">
        <v>0</v>
      </c>
      <c r="E438" s="102"/>
      <c r="F438" s="102"/>
      <c r="G438" s="102"/>
      <c r="H438" s="102"/>
      <c r="I438" s="102">
        <v>0</v>
      </c>
      <c r="J438" s="36"/>
      <c r="K438" s="172"/>
      <c r="L438" s="369"/>
    </row>
    <row r="439" spans="1:12" s="14" customFormat="1" ht="19.5" customHeight="1">
      <c r="A439" s="304" t="s">
        <v>266</v>
      </c>
      <c r="B439" s="297" t="s">
        <v>255</v>
      </c>
      <c r="C439" s="188">
        <v>2017</v>
      </c>
      <c r="D439" s="102">
        <v>0</v>
      </c>
      <c r="E439" s="102">
        <v>0</v>
      </c>
      <c r="F439" s="102"/>
      <c r="G439" s="102"/>
      <c r="H439" s="102">
        <v>0</v>
      </c>
      <c r="I439" s="102">
        <v>0</v>
      </c>
      <c r="J439" s="36"/>
      <c r="K439" s="172"/>
      <c r="L439" s="369"/>
    </row>
    <row r="440" spans="1:12" s="14" customFormat="1" ht="19.5" customHeight="1">
      <c r="A440" s="305"/>
      <c r="B440" s="298"/>
      <c r="C440" s="188">
        <v>2018</v>
      </c>
      <c r="D440" s="102">
        <v>0</v>
      </c>
      <c r="E440" s="102">
        <v>0</v>
      </c>
      <c r="F440" s="102"/>
      <c r="G440" s="102"/>
      <c r="H440" s="102">
        <v>0</v>
      </c>
      <c r="I440" s="102">
        <v>0</v>
      </c>
      <c r="J440" s="36"/>
      <c r="K440" s="172"/>
      <c r="L440" s="369"/>
    </row>
    <row r="441" spans="1:12" s="14" customFormat="1" ht="19.5" customHeight="1">
      <c r="A441" s="305"/>
      <c r="B441" s="298"/>
      <c r="C441" s="188">
        <v>2019</v>
      </c>
      <c r="D441" s="102">
        <f>I441</f>
        <v>59.927</v>
      </c>
      <c r="E441" s="102"/>
      <c r="F441" s="102"/>
      <c r="G441" s="102"/>
      <c r="H441" s="102"/>
      <c r="I441" s="102">
        <f>60-0.073</f>
        <v>59.927</v>
      </c>
      <c r="J441" s="36"/>
      <c r="K441" s="172" t="s">
        <v>244</v>
      </c>
      <c r="L441" s="369"/>
    </row>
    <row r="442" spans="1:12" s="14" customFormat="1" ht="19.5" customHeight="1">
      <c r="A442" s="305"/>
      <c r="B442" s="298"/>
      <c r="C442" s="188">
        <v>2020</v>
      </c>
      <c r="D442" s="102">
        <v>0</v>
      </c>
      <c r="E442" s="102">
        <v>0</v>
      </c>
      <c r="F442" s="102"/>
      <c r="G442" s="102"/>
      <c r="H442" s="102">
        <v>0</v>
      </c>
      <c r="I442" s="102">
        <v>0</v>
      </c>
      <c r="J442" s="36"/>
      <c r="K442" s="172"/>
      <c r="L442" s="369"/>
    </row>
    <row r="443" spans="1:12" s="14" customFormat="1" ht="19.5" customHeight="1">
      <c r="A443" s="305"/>
      <c r="B443" s="298"/>
      <c r="C443" s="188">
        <v>2021</v>
      </c>
      <c r="D443" s="102">
        <v>0</v>
      </c>
      <c r="E443" s="102">
        <v>0</v>
      </c>
      <c r="F443" s="102"/>
      <c r="G443" s="102"/>
      <c r="H443" s="102">
        <v>0</v>
      </c>
      <c r="I443" s="102">
        <v>0</v>
      </c>
      <c r="J443" s="36"/>
      <c r="K443" s="172"/>
      <c r="L443" s="369"/>
    </row>
    <row r="444" spans="1:12" s="14" customFormat="1" ht="19.5" customHeight="1">
      <c r="A444" s="305"/>
      <c r="B444" s="298"/>
      <c r="C444" s="188">
        <v>2022</v>
      </c>
      <c r="D444" s="102">
        <v>0</v>
      </c>
      <c r="E444" s="102">
        <v>0</v>
      </c>
      <c r="F444" s="102"/>
      <c r="G444" s="102"/>
      <c r="H444" s="102">
        <v>0</v>
      </c>
      <c r="I444" s="102">
        <v>0</v>
      </c>
      <c r="J444" s="36"/>
      <c r="K444" s="172"/>
      <c r="L444" s="369"/>
    </row>
    <row r="445" spans="1:12" s="14" customFormat="1" ht="19.5" customHeight="1">
      <c r="A445" s="306"/>
      <c r="B445" s="299"/>
      <c r="C445" s="188">
        <v>2023</v>
      </c>
      <c r="D445" s="102">
        <v>0</v>
      </c>
      <c r="E445" s="102"/>
      <c r="F445" s="102"/>
      <c r="G445" s="102"/>
      <c r="H445" s="102"/>
      <c r="I445" s="102">
        <v>0</v>
      </c>
      <c r="J445" s="36"/>
      <c r="K445" s="172"/>
      <c r="L445" s="369"/>
    </row>
    <row r="446" spans="1:12" s="14" customFormat="1" ht="19.5" customHeight="1">
      <c r="A446" s="293" t="s">
        <v>267</v>
      </c>
      <c r="B446" s="292" t="s">
        <v>286</v>
      </c>
      <c r="C446" s="188">
        <v>2017</v>
      </c>
      <c r="D446" s="102">
        <v>0</v>
      </c>
      <c r="E446" s="102">
        <v>0</v>
      </c>
      <c r="F446" s="102"/>
      <c r="G446" s="102"/>
      <c r="H446" s="102">
        <v>0</v>
      </c>
      <c r="I446" s="102">
        <v>0</v>
      </c>
      <c r="J446" s="36"/>
      <c r="K446" s="172"/>
      <c r="L446" s="369"/>
    </row>
    <row r="447" spans="1:12" s="14" customFormat="1" ht="19.5" customHeight="1">
      <c r="A447" s="293"/>
      <c r="B447" s="292"/>
      <c r="C447" s="188">
        <v>2018</v>
      </c>
      <c r="D447" s="102">
        <v>0</v>
      </c>
      <c r="E447" s="102">
        <v>0</v>
      </c>
      <c r="F447" s="102"/>
      <c r="G447" s="102"/>
      <c r="H447" s="102">
        <v>0</v>
      </c>
      <c r="I447" s="102">
        <v>0</v>
      </c>
      <c r="J447" s="36"/>
      <c r="K447" s="172"/>
      <c r="L447" s="369"/>
    </row>
    <row r="448" spans="1:12" s="14" customFormat="1" ht="19.5" customHeight="1">
      <c r="A448" s="293"/>
      <c r="B448" s="292"/>
      <c r="C448" s="188">
        <v>2019</v>
      </c>
      <c r="D448" s="102">
        <f>I448</f>
        <v>90</v>
      </c>
      <c r="E448" s="102"/>
      <c r="F448" s="102"/>
      <c r="G448" s="102"/>
      <c r="H448" s="102"/>
      <c r="I448" s="102">
        <f>30+60</f>
        <v>90</v>
      </c>
      <c r="J448" s="36"/>
      <c r="K448" s="172" t="s">
        <v>256</v>
      </c>
      <c r="L448" s="369"/>
    </row>
    <row r="449" spans="1:12" s="14" customFormat="1" ht="19.5" customHeight="1">
      <c r="A449" s="293"/>
      <c r="B449" s="292"/>
      <c r="C449" s="188">
        <v>2020</v>
      </c>
      <c r="D449" s="102">
        <v>0</v>
      </c>
      <c r="E449" s="102">
        <v>0</v>
      </c>
      <c r="F449" s="102"/>
      <c r="G449" s="102"/>
      <c r="H449" s="102">
        <v>0</v>
      </c>
      <c r="I449" s="102">
        <v>0</v>
      </c>
      <c r="J449" s="36"/>
      <c r="K449" s="172"/>
      <c r="L449" s="369"/>
    </row>
    <row r="450" spans="1:12" s="14" customFormat="1" ht="19.5" customHeight="1">
      <c r="A450" s="293"/>
      <c r="B450" s="292"/>
      <c r="C450" s="188">
        <v>2021</v>
      </c>
      <c r="D450" s="102">
        <v>0</v>
      </c>
      <c r="E450" s="102">
        <v>0</v>
      </c>
      <c r="F450" s="102"/>
      <c r="G450" s="102"/>
      <c r="H450" s="102">
        <v>0</v>
      </c>
      <c r="I450" s="102">
        <v>0</v>
      </c>
      <c r="J450" s="36"/>
      <c r="K450" s="172"/>
      <c r="L450" s="369"/>
    </row>
    <row r="451" spans="1:12" s="14" customFormat="1" ht="19.5" customHeight="1">
      <c r="A451" s="293"/>
      <c r="B451" s="292"/>
      <c r="C451" s="188">
        <v>2022</v>
      </c>
      <c r="D451" s="102">
        <v>0</v>
      </c>
      <c r="E451" s="102">
        <v>0</v>
      </c>
      <c r="F451" s="102"/>
      <c r="G451" s="102"/>
      <c r="H451" s="102">
        <v>0</v>
      </c>
      <c r="I451" s="102">
        <v>0</v>
      </c>
      <c r="J451" s="36"/>
      <c r="K451" s="172"/>
      <c r="L451" s="369"/>
    </row>
    <row r="452" spans="1:12" s="14" customFormat="1" ht="19.5" customHeight="1">
      <c r="A452" s="293"/>
      <c r="B452" s="292"/>
      <c r="C452" s="188">
        <v>2023</v>
      </c>
      <c r="D452" s="102">
        <v>0</v>
      </c>
      <c r="E452" s="102"/>
      <c r="F452" s="102"/>
      <c r="G452" s="102"/>
      <c r="H452" s="102"/>
      <c r="I452" s="102">
        <v>0</v>
      </c>
      <c r="J452" s="36"/>
      <c r="K452" s="172"/>
      <c r="L452" s="369"/>
    </row>
    <row r="453" spans="1:12" s="14" customFormat="1" ht="19.5" customHeight="1">
      <c r="A453" s="293" t="s">
        <v>289</v>
      </c>
      <c r="B453" s="292" t="s">
        <v>292</v>
      </c>
      <c r="C453" s="188">
        <v>2017</v>
      </c>
      <c r="D453" s="102">
        <v>0</v>
      </c>
      <c r="E453" s="102">
        <v>0</v>
      </c>
      <c r="F453" s="102"/>
      <c r="G453" s="102"/>
      <c r="H453" s="102">
        <v>0</v>
      </c>
      <c r="I453" s="102">
        <v>0</v>
      </c>
      <c r="J453" s="36"/>
      <c r="K453" s="172"/>
      <c r="L453" s="369"/>
    </row>
    <row r="454" spans="1:12" s="14" customFormat="1" ht="19.5" customHeight="1">
      <c r="A454" s="293"/>
      <c r="B454" s="292"/>
      <c r="C454" s="188">
        <v>2018</v>
      </c>
      <c r="D454" s="102">
        <v>0</v>
      </c>
      <c r="E454" s="102">
        <v>0</v>
      </c>
      <c r="F454" s="102"/>
      <c r="G454" s="102"/>
      <c r="H454" s="102">
        <v>0</v>
      </c>
      <c r="I454" s="102">
        <v>0</v>
      </c>
      <c r="J454" s="36"/>
      <c r="K454" s="172"/>
      <c r="L454" s="369"/>
    </row>
    <row r="455" spans="1:12" s="14" customFormat="1" ht="19.5" customHeight="1">
      <c r="A455" s="293"/>
      <c r="B455" s="292"/>
      <c r="C455" s="188">
        <v>2019</v>
      </c>
      <c r="D455" s="102">
        <f>I455</f>
        <v>221.458</v>
      </c>
      <c r="E455" s="102"/>
      <c r="F455" s="102"/>
      <c r="G455" s="102"/>
      <c r="H455" s="102"/>
      <c r="I455" s="102">
        <f>223-1.542</f>
        <v>221.458</v>
      </c>
      <c r="J455" s="36"/>
      <c r="K455" s="172" t="s">
        <v>340</v>
      </c>
      <c r="L455" s="369"/>
    </row>
    <row r="456" spans="1:12" s="14" customFormat="1" ht="19.5" customHeight="1">
      <c r="A456" s="293"/>
      <c r="B456" s="292"/>
      <c r="C456" s="188">
        <v>2020</v>
      </c>
      <c r="D456" s="102">
        <v>0</v>
      </c>
      <c r="E456" s="102">
        <v>0</v>
      </c>
      <c r="F456" s="102"/>
      <c r="G456" s="102"/>
      <c r="H456" s="102">
        <v>0</v>
      </c>
      <c r="I456" s="102">
        <v>0</v>
      </c>
      <c r="J456" s="36"/>
      <c r="K456" s="172"/>
      <c r="L456" s="369"/>
    </row>
    <row r="457" spans="1:12" s="14" customFormat="1" ht="19.5" customHeight="1">
      <c r="A457" s="293"/>
      <c r="B457" s="292"/>
      <c r="C457" s="188">
        <v>2021</v>
      </c>
      <c r="D457" s="102">
        <v>0</v>
      </c>
      <c r="E457" s="102">
        <v>0</v>
      </c>
      <c r="F457" s="102"/>
      <c r="G457" s="102"/>
      <c r="H457" s="102">
        <v>0</v>
      </c>
      <c r="I457" s="102">
        <v>0</v>
      </c>
      <c r="J457" s="36"/>
      <c r="K457" s="172"/>
      <c r="L457" s="369"/>
    </row>
    <row r="458" spans="1:12" s="14" customFormat="1" ht="19.5" customHeight="1">
      <c r="A458" s="293"/>
      <c r="B458" s="292"/>
      <c r="C458" s="188">
        <v>2022</v>
      </c>
      <c r="D458" s="102">
        <v>0</v>
      </c>
      <c r="E458" s="102">
        <v>0</v>
      </c>
      <c r="F458" s="102"/>
      <c r="G458" s="102"/>
      <c r="H458" s="102">
        <v>0</v>
      </c>
      <c r="I458" s="102">
        <v>0</v>
      </c>
      <c r="J458" s="36"/>
      <c r="K458" s="172"/>
      <c r="L458" s="369"/>
    </row>
    <row r="459" spans="1:12" s="14" customFormat="1" ht="19.5" customHeight="1">
      <c r="A459" s="293"/>
      <c r="B459" s="292"/>
      <c r="C459" s="188">
        <v>2023</v>
      </c>
      <c r="D459" s="102">
        <v>0</v>
      </c>
      <c r="E459" s="102"/>
      <c r="F459" s="102"/>
      <c r="G459" s="102"/>
      <c r="H459" s="102"/>
      <c r="I459" s="102">
        <v>0</v>
      </c>
      <c r="J459" s="36"/>
      <c r="K459" s="172"/>
      <c r="L459" s="369"/>
    </row>
    <row r="460" spans="1:12" s="14" customFormat="1" ht="19.5" customHeight="1">
      <c r="A460" s="293" t="s">
        <v>290</v>
      </c>
      <c r="B460" s="292" t="s">
        <v>291</v>
      </c>
      <c r="C460" s="188">
        <v>2017</v>
      </c>
      <c r="D460" s="102">
        <v>0</v>
      </c>
      <c r="E460" s="102">
        <v>0</v>
      </c>
      <c r="F460" s="102"/>
      <c r="G460" s="102"/>
      <c r="H460" s="102">
        <v>0</v>
      </c>
      <c r="I460" s="102">
        <v>0</v>
      </c>
      <c r="J460" s="36"/>
      <c r="K460" s="172"/>
      <c r="L460" s="369"/>
    </row>
    <row r="461" spans="1:12" s="14" customFormat="1" ht="19.5" customHeight="1">
      <c r="A461" s="293"/>
      <c r="B461" s="292"/>
      <c r="C461" s="188">
        <v>2018</v>
      </c>
      <c r="D461" s="102">
        <v>0</v>
      </c>
      <c r="E461" s="102">
        <v>0</v>
      </c>
      <c r="F461" s="102"/>
      <c r="G461" s="102"/>
      <c r="H461" s="102">
        <v>0</v>
      </c>
      <c r="I461" s="102">
        <v>0</v>
      </c>
      <c r="J461" s="36"/>
      <c r="K461" s="172"/>
      <c r="L461" s="369"/>
    </row>
    <row r="462" spans="1:12" s="14" customFormat="1" ht="19.5" customHeight="1">
      <c r="A462" s="293"/>
      <c r="B462" s="292"/>
      <c r="C462" s="188">
        <v>2019</v>
      </c>
      <c r="D462" s="102">
        <f>I462</f>
        <v>330.132</v>
      </c>
      <c r="E462" s="102"/>
      <c r="F462" s="102"/>
      <c r="G462" s="102"/>
      <c r="H462" s="102"/>
      <c r="I462" s="102">
        <f>361.666-31.534</f>
        <v>330.132</v>
      </c>
      <c r="J462" s="36"/>
      <c r="K462" s="172" t="s">
        <v>169</v>
      </c>
      <c r="L462" s="369"/>
    </row>
    <row r="463" spans="1:12" s="14" customFormat="1" ht="19.5" customHeight="1">
      <c r="A463" s="293"/>
      <c r="B463" s="292"/>
      <c r="C463" s="188">
        <v>2020</v>
      </c>
      <c r="D463" s="102">
        <v>0</v>
      </c>
      <c r="E463" s="102">
        <v>0</v>
      </c>
      <c r="F463" s="102"/>
      <c r="G463" s="102"/>
      <c r="H463" s="102">
        <v>0</v>
      </c>
      <c r="I463" s="102">
        <v>0</v>
      </c>
      <c r="J463" s="36"/>
      <c r="K463" s="172"/>
      <c r="L463" s="369"/>
    </row>
    <row r="464" spans="1:12" s="14" customFormat="1" ht="19.5" customHeight="1">
      <c r="A464" s="293"/>
      <c r="B464" s="292"/>
      <c r="C464" s="188">
        <v>2021</v>
      </c>
      <c r="D464" s="102">
        <v>0</v>
      </c>
      <c r="E464" s="102">
        <v>0</v>
      </c>
      <c r="F464" s="102"/>
      <c r="G464" s="102"/>
      <c r="H464" s="102">
        <v>0</v>
      </c>
      <c r="I464" s="102">
        <v>0</v>
      </c>
      <c r="J464" s="36"/>
      <c r="K464" s="172"/>
      <c r="L464" s="369"/>
    </row>
    <row r="465" spans="1:12" s="14" customFormat="1" ht="19.5" customHeight="1">
      <c r="A465" s="293"/>
      <c r="B465" s="292"/>
      <c r="C465" s="188">
        <v>2022</v>
      </c>
      <c r="D465" s="102">
        <v>0</v>
      </c>
      <c r="E465" s="102">
        <v>0</v>
      </c>
      <c r="F465" s="102"/>
      <c r="G465" s="102"/>
      <c r="H465" s="102">
        <v>0</v>
      </c>
      <c r="I465" s="102">
        <v>0</v>
      </c>
      <c r="J465" s="36"/>
      <c r="K465" s="172"/>
      <c r="L465" s="369"/>
    </row>
    <row r="466" spans="1:12" s="14" customFormat="1" ht="19.5" customHeight="1">
      <c r="A466" s="293"/>
      <c r="B466" s="292"/>
      <c r="C466" s="188">
        <v>2023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36"/>
      <c r="K466" s="172"/>
      <c r="L466" s="369"/>
    </row>
    <row r="467" spans="1:12" s="14" customFormat="1" ht="19.5" customHeight="1">
      <c r="A467" s="293" t="s">
        <v>314</v>
      </c>
      <c r="B467" s="303" t="s">
        <v>311</v>
      </c>
      <c r="C467" s="188">
        <v>2017</v>
      </c>
      <c r="D467" s="102">
        <v>0</v>
      </c>
      <c r="E467" s="102">
        <v>0</v>
      </c>
      <c r="F467" s="102"/>
      <c r="G467" s="102"/>
      <c r="H467" s="102">
        <v>0</v>
      </c>
      <c r="I467" s="102">
        <v>0</v>
      </c>
      <c r="J467" s="36"/>
      <c r="K467" s="169"/>
      <c r="L467" s="369"/>
    </row>
    <row r="468" spans="1:12" s="14" customFormat="1" ht="19.5" customHeight="1">
      <c r="A468" s="293"/>
      <c r="B468" s="303"/>
      <c r="C468" s="188">
        <v>2018</v>
      </c>
      <c r="D468" s="102">
        <v>0</v>
      </c>
      <c r="E468" s="102">
        <v>0</v>
      </c>
      <c r="F468" s="102"/>
      <c r="G468" s="102"/>
      <c r="H468" s="102">
        <v>0</v>
      </c>
      <c r="I468" s="102">
        <v>0</v>
      </c>
      <c r="J468" s="36"/>
      <c r="K468" s="169"/>
      <c r="L468" s="369"/>
    </row>
    <row r="469" spans="1:12" s="14" customFormat="1" ht="19.5" customHeight="1">
      <c r="A469" s="293"/>
      <c r="B469" s="303"/>
      <c r="C469" s="188">
        <v>2019</v>
      </c>
      <c r="D469" s="102">
        <f>E469+H469+I469</f>
        <v>143.621</v>
      </c>
      <c r="E469" s="102">
        <v>0</v>
      </c>
      <c r="F469" s="102"/>
      <c r="G469" s="102"/>
      <c r="H469" s="102">
        <v>0</v>
      </c>
      <c r="I469" s="102">
        <v>143.621</v>
      </c>
      <c r="J469" s="36"/>
      <c r="K469" s="169" t="s">
        <v>248</v>
      </c>
      <c r="L469" s="369"/>
    </row>
    <row r="470" spans="1:12" s="14" customFormat="1" ht="19.5" customHeight="1">
      <c r="A470" s="293"/>
      <c r="B470" s="303"/>
      <c r="C470" s="188">
        <v>2020</v>
      </c>
      <c r="D470" s="102">
        <v>0</v>
      </c>
      <c r="E470" s="102">
        <v>0</v>
      </c>
      <c r="F470" s="102"/>
      <c r="G470" s="102"/>
      <c r="H470" s="102">
        <v>0</v>
      </c>
      <c r="I470" s="102">
        <v>0</v>
      </c>
      <c r="J470" s="36"/>
      <c r="K470" s="169"/>
      <c r="L470" s="369"/>
    </row>
    <row r="471" spans="1:12" s="14" customFormat="1" ht="19.5" customHeight="1">
      <c r="A471" s="293"/>
      <c r="B471" s="303"/>
      <c r="C471" s="188">
        <v>2021</v>
      </c>
      <c r="D471" s="102">
        <v>0</v>
      </c>
      <c r="E471" s="102">
        <v>0</v>
      </c>
      <c r="F471" s="102"/>
      <c r="G471" s="102"/>
      <c r="H471" s="102">
        <v>0</v>
      </c>
      <c r="I471" s="102">
        <v>0</v>
      </c>
      <c r="J471" s="36"/>
      <c r="K471" s="169"/>
      <c r="L471" s="369"/>
    </row>
    <row r="472" spans="1:12" s="14" customFormat="1" ht="19.5" customHeight="1">
      <c r="A472" s="293"/>
      <c r="B472" s="303"/>
      <c r="C472" s="188">
        <v>2022</v>
      </c>
      <c r="D472" s="102">
        <v>0</v>
      </c>
      <c r="E472" s="102">
        <v>0</v>
      </c>
      <c r="F472" s="102"/>
      <c r="G472" s="102"/>
      <c r="H472" s="102">
        <v>0</v>
      </c>
      <c r="I472" s="102">
        <v>0</v>
      </c>
      <c r="J472" s="36"/>
      <c r="K472" s="169"/>
      <c r="L472" s="369"/>
    </row>
    <row r="473" spans="1:12" s="14" customFormat="1" ht="19.5" customHeight="1">
      <c r="A473" s="293"/>
      <c r="B473" s="303"/>
      <c r="C473" s="188">
        <v>2023</v>
      </c>
      <c r="D473" s="102">
        <v>0</v>
      </c>
      <c r="E473" s="102">
        <v>0</v>
      </c>
      <c r="F473" s="102"/>
      <c r="G473" s="102"/>
      <c r="H473" s="102">
        <v>0</v>
      </c>
      <c r="I473" s="102">
        <v>0</v>
      </c>
      <c r="J473" s="36"/>
      <c r="K473" s="169"/>
      <c r="L473" s="369"/>
    </row>
    <row r="474" spans="1:12" s="14" customFormat="1" ht="19.5" customHeight="1">
      <c r="A474" s="293" t="s">
        <v>315</v>
      </c>
      <c r="B474" s="303" t="s">
        <v>312</v>
      </c>
      <c r="C474" s="188">
        <v>2017</v>
      </c>
      <c r="D474" s="102">
        <v>0</v>
      </c>
      <c r="E474" s="102">
        <v>0</v>
      </c>
      <c r="F474" s="102"/>
      <c r="G474" s="102"/>
      <c r="H474" s="102">
        <v>0</v>
      </c>
      <c r="I474" s="102">
        <v>0</v>
      </c>
      <c r="J474" s="36"/>
      <c r="K474" s="169"/>
      <c r="L474" s="369"/>
    </row>
    <row r="475" spans="1:12" s="14" customFormat="1" ht="19.5" customHeight="1">
      <c r="A475" s="293"/>
      <c r="B475" s="303"/>
      <c r="C475" s="188">
        <v>2018</v>
      </c>
      <c r="D475" s="102">
        <v>0</v>
      </c>
      <c r="E475" s="102">
        <v>0</v>
      </c>
      <c r="F475" s="102"/>
      <c r="G475" s="102"/>
      <c r="H475" s="102">
        <v>0</v>
      </c>
      <c r="I475" s="102">
        <v>0</v>
      </c>
      <c r="J475" s="36"/>
      <c r="K475" s="169"/>
      <c r="L475" s="369"/>
    </row>
    <row r="476" spans="1:12" s="14" customFormat="1" ht="19.5" customHeight="1">
      <c r="A476" s="293"/>
      <c r="B476" s="303"/>
      <c r="C476" s="188">
        <v>2019</v>
      </c>
      <c r="D476" s="102">
        <f>I476</f>
        <v>69.845</v>
      </c>
      <c r="E476" s="102"/>
      <c r="F476" s="102"/>
      <c r="G476" s="102"/>
      <c r="H476" s="102"/>
      <c r="I476" s="102">
        <v>69.845</v>
      </c>
      <c r="J476" s="36"/>
      <c r="K476" s="169" t="s">
        <v>54</v>
      </c>
      <c r="L476" s="369"/>
    </row>
    <row r="477" spans="1:12" s="14" customFormat="1" ht="19.5" customHeight="1">
      <c r="A477" s="293"/>
      <c r="B477" s="303"/>
      <c r="C477" s="188">
        <v>2020</v>
      </c>
      <c r="D477" s="102">
        <v>0</v>
      </c>
      <c r="E477" s="102">
        <v>0</v>
      </c>
      <c r="F477" s="102"/>
      <c r="G477" s="102"/>
      <c r="H477" s="102">
        <v>0</v>
      </c>
      <c r="I477" s="102">
        <v>0</v>
      </c>
      <c r="J477" s="36"/>
      <c r="K477" s="169"/>
      <c r="L477" s="369"/>
    </row>
    <row r="478" spans="1:12" s="14" customFormat="1" ht="19.5" customHeight="1">
      <c r="A478" s="293"/>
      <c r="B478" s="303"/>
      <c r="C478" s="188">
        <v>2021</v>
      </c>
      <c r="D478" s="102">
        <v>0</v>
      </c>
      <c r="E478" s="102">
        <v>0</v>
      </c>
      <c r="F478" s="102"/>
      <c r="G478" s="102"/>
      <c r="H478" s="102">
        <v>0</v>
      </c>
      <c r="I478" s="102">
        <v>0</v>
      </c>
      <c r="J478" s="36"/>
      <c r="K478" s="169"/>
      <c r="L478" s="369"/>
    </row>
    <row r="479" spans="1:12" s="14" customFormat="1" ht="19.5" customHeight="1">
      <c r="A479" s="293"/>
      <c r="B479" s="303"/>
      <c r="C479" s="188">
        <v>2022</v>
      </c>
      <c r="D479" s="102">
        <v>0</v>
      </c>
      <c r="E479" s="102">
        <v>0</v>
      </c>
      <c r="F479" s="102"/>
      <c r="G479" s="102"/>
      <c r="H479" s="102">
        <v>0</v>
      </c>
      <c r="I479" s="102">
        <v>0</v>
      </c>
      <c r="J479" s="36"/>
      <c r="K479" s="169"/>
      <c r="L479" s="369"/>
    </row>
    <row r="480" spans="1:12" s="14" customFormat="1" ht="19.5" customHeight="1">
      <c r="A480" s="293"/>
      <c r="B480" s="303"/>
      <c r="C480" s="188">
        <v>2023</v>
      </c>
      <c r="D480" s="102">
        <v>0</v>
      </c>
      <c r="E480" s="102">
        <v>0</v>
      </c>
      <c r="F480" s="102"/>
      <c r="G480" s="102"/>
      <c r="H480" s="102">
        <v>0</v>
      </c>
      <c r="I480" s="102">
        <v>0</v>
      </c>
      <c r="J480" s="36"/>
      <c r="K480" s="169"/>
      <c r="L480" s="369"/>
    </row>
    <row r="481" spans="1:12" s="14" customFormat="1" ht="19.5" customHeight="1">
      <c r="A481" s="293" t="s">
        <v>316</v>
      </c>
      <c r="B481" s="303" t="s">
        <v>313</v>
      </c>
      <c r="C481" s="188">
        <v>2017</v>
      </c>
      <c r="D481" s="102">
        <v>0</v>
      </c>
      <c r="E481" s="102">
        <v>0</v>
      </c>
      <c r="F481" s="102"/>
      <c r="G481" s="102"/>
      <c r="H481" s="102">
        <v>0</v>
      </c>
      <c r="I481" s="102">
        <v>0</v>
      </c>
      <c r="J481" s="36"/>
      <c r="K481" s="169"/>
      <c r="L481" s="369"/>
    </row>
    <row r="482" spans="1:12" s="14" customFormat="1" ht="19.5" customHeight="1">
      <c r="A482" s="293"/>
      <c r="B482" s="303"/>
      <c r="C482" s="188">
        <v>2018</v>
      </c>
      <c r="D482" s="102">
        <v>0</v>
      </c>
      <c r="E482" s="102">
        <v>0</v>
      </c>
      <c r="F482" s="102"/>
      <c r="G482" s="102"/>
      <c r="H482" s="102">
        <v>0</v>
      </c>
      <c r="I482" s="102">
        <v>0</v>
      </c>
      <c r="J482" s="36"/>
      <c r="K482" s="169"/>
      <c r="L482" s="369"/>
    </row>
    <row r="483" spans="1:12" s="14" customFormat="1" ht="19.5" customHeight="1">
      <c r="A483" s="293"/>
      <c r="B483" s="303"/>
      <c r="C483" s="188">
        <v>2019</v>
      </c>
      <c r="D483" s="102">
        <f>I483</f>
        <v>549.981</v>
      </c>
      <c r="E483" s="102"/>
      <c r="F483" s="102"/>
      <c r="G483" s="102"/>
      <c r="H483" s="102"/>
      <c r="I483" s="102">
        <v>549.981</v>
      </c>
      <c r="J483" s="36"/>
      <c r="K483" s="169" t="s">
        <v>151</v>
      </c>
      <c r="L483" s="369"/>
    </row>
    <row r="484" spans="1:12" s="14" customFormat="1" ht="19.5" customHeight="1">
      <c r="A484" s="293"/>
      <c r="B484" s="303"/>
      <c r="C484" s="188">
        <v>2020</v>
      </c>
      <c r="D484" s="102">
        <v>0</v>
      </c>
      <c r="E484" s="102">
        <v>0</v>
      </c>
      <c r="F484" s="102"/>
      <c r="G484" s="102"/>
      <c r="H484" s="102">
        <v>0</v>
      </c>
      <c r="I484" s="102">
        <v>0</v>
      </c>
      <c r="J484" s="36"/>
      <c r="K484" s="169"/>
      <c r="L484" s="369"/>
    </row>
    <row r="485" spans="1:12" s="14" customFormat="1" ht="19.5" customHeight="1">
      <c r="A485" s="293"/>
      <c r="B485" s="303"/>
      <c r="C485" s="188">
        <v>2021</v>
      </c>
      <c r="D485" s="102">
        <v>0</v>
      </c>
      <c r="E485" s="102">
        <v>0</v>
      </c>
      <c r="F485" s="102"/>
      <c r="G485" s="102"/>
      <c r="H485" s="102">
        <v>0</v>
      </c>
      <c r="I485" s="102">
        <v>0</v>
      </c>
      <c r="J485" s="36"/>
      <c r="K485" s="169"/>
      <c r="L485" s="369"/>
    </row>
    <row r="486" spans="1:12" s="14" customFormat="1" ht="19.5" customHeight="1">
      <c r="A486" s="293"/>
      <c r="B486" s="303"/>
      <c r="C486" s="188">
        <v>2022</v>
      </c>
      <c r="D486" s="102">
        <v>0</v>
      </c>
      <c r="E486" s="102">
        <v>0</v>
      </c>
      <c r="F486" s="102"/>
      <c r="G486" s="102"/>
      <c r="H486" s="102">
        <v>0</v>
      </c>
      <c r="I486" s="102">
        <v>0</v>
      </c>
      <c r="J486" s="36"/>
      <c r="K486" s="169"/>
      <c r="L486" s="369"/>
    </row>
    <row r="487" spans="1:12" s="14" customFormat="1" ht="19.5" customHeight="1">
      <c r="A487" s="293"/>
      <c r="B487" s="303"/>
      <c r="C487" s="188">
        <v>2023</v>
      </c>
      <c r="D487" s="102">
        <v>0</v>
      </c>
      <c r="E487" s="102">
        <v>0</v>
      </c>
      <c r="F487" s="102"/>
      <c r="G487" s="102"/>
      <c r="H487" s="102">
        <v>0</v>
      </c>
      <c r="I487" s="102">
        <v>0</v>
      </c>
      <c r="J487" s="36"/>
      <c r="K487" s="169"/>
      <c r="L487" s="369"/>
    </row>
    <row r="488" spans="1:12" s="14" customFormat="1" ht="19.5" customHeight="1">
      <c r="A488" s="293" t="s">
        <v>318</v>
      </c>
      <c r="B488" s="303"/>
      <c r="C488" s="188">
        <v>2017</v>
      </c>
      <c r="D488" s="102">
        <v>0</v>
      </c>
      <c r="E488" s="102">
        <v>0</v>
      </c>
      <c r="F488" s="102"/>
      <c r="G488" s="102"/>
      <c r="H488" s="102">
        <v>0</v>
      </c>
      <c r="I488" s="102">
        <v>0</v>
      </c>
      <c r="J488" s="36"/>
      <c r="K488" s="169"/>
      <c r="L488" s="369"/>
    </row>
    <row r="489" spans="1:12" s="14" customFormat="1" ht="19.5" customHeight="1">
      <c r="A489" s="293"/>
      <c r="B489" s="303"/>
      <c r="C489" s="188">
        <v>2018</v>
      </c>
      <c r="D489" s="102">
        <v>0</v>
      </c>
      <c r="E489" s="102">
        <v>0</v>
      </c>
      <c r="F489" s="102"/>
      <c r="G489" s="102"/>
      <c r="H489" s="102">
        <v>0</v>
      </c>
      <c r="I489" s="102">
        <v>0</v>
      </c>
      <c r="J489" s="36"/>
      <c r="K489" s="169"/>
      <c r="L489" s="369"/>
    </row>
    <row r="490" spans="1:12" s="14" customFormat="1" ht="19.5" customHeight="1">
      <c r="A490" s="293"/>
      <c r="B490" s="303"/>
      <c r="C490" s="188">
        <v>2019</v>
      </c>
      <c r="D490" s="102">
        <v>0</v>
      </c>
      <c r="E490" s="102">
        <v>0</v>
      </c>
      <c r="F490" s="102"/>
      <c r="G490" s="102"/>
      <c r="H490" s="102">
        <v>0</v>
      </c>
      <c r="I490" s="102">
        <v>0</v>
      </c>
      <c r="J490" s="36"/>
      <c r="K490" s="169"/>
      <c r="L490" s="369"/>
    </row>
    <row r="491" spans="1:12" s="14" customFormat="1" ht="19.5" customHeight="1">
      <c r="A491" s="293"/>
      <c r="B491" s="303"/>
      <c r="C491" s="188">
        <v>2020</v>
      </c>
      <c r="D491" s="102">
        <v>0</v>
      </c>
      <c r="E491" s="102">
        <v>0</v>
      </c>
      <c r="F491" s="102"/>
      <c r="G491" s="102"/>
      <c r="H491" s="102">
        <v>0</v>
      </c>
      <c r="I491" s="102">
        <v>0</v>
      </c>
      <c r="J491" s="36"/>
      <c r="K491" s="169" t="s">
        <v>240</v>
      </c>
      <c r="L491" s="369"/>
    </row>
    <row r="492" spans="1:12" s="14" customFormat="1" ht="19.5" customHeight="1">
      <c r="A492" s="293"/>
      <c r="B492" s="303"/>
      <c r="C492" s="188">
        <v>2021</v>
      </c>
      <c r="D492" s="102">
        <v>0</v>
      </c>
      <c r="E492" s="102">
        <v>0</v>
      </c>
      <c r="F492" s="102"/>
      <c r="G492" s="102"/>
      <c r="H492" s="102">
        <v>0</v>
      </c>
      <c r="I492" s="102">
        <v>0</v>
      </c>
      <c r="J492" s="36"/>
      <c r="K492" s="169"/>
      <c r="L492" s="369"/>
    </row>
    <row r="493" spans="1:12" s="14" customFormat="1" ht="19.5" customHeight="1">
      <c r="A493" s="293"/>
      <c r="B493" s="303"/>
      <c r="C493" s="188">
        <v>2022</v>
      </c>
      <c r="D493" s="102">
        <v>0</v>
      </c>
      <c r="E493" s="102">
        <v>0</v>
      </c>
      <c r="F493" s="102"/>
      <c r="G493" s="102"/>
      <c r="H493" s="102">
        <v>0</v>
      </c>
      <c r="I493" s="102">
        <v>0</v>
      </c>
      <c r="J493" s="36"/>
      <c r="K493" s="169"/>
      <c r="L493" s="369"/>
    </row>
    <row r="494" spans="1:12" s="14" customFormat="1" ht="19.5" customHeight="1">
      <c r="A494" s="293" t="s">
        <v>318</v>
      </c>
      <c r="B494" s="292" t="s">
        <v>322</v>
      </c>
      <c r="C494" s="188">
        <v>2017</v>
      </c>
      <c r="D494" s="102">
        <v>0</v>
      </c>
      <c r="E494" s="102">
        <v>0</v>
      </c>
      <c r="F494" s="102"/>
      <c r="G494" s="102"/>
      <c r="H494" s="102">
        <v>0</v>
      </c>
      <c r="I494" s="102">
        <v>0</v>
      </c>
      <c r="J494" s="36"/>
      <c r="K494" s="169"/>
      <c r="L494" s="369"/>
    </row>
    <row r="495" spans="1:12" s="14" customFormat="1" ht="19.5" customHeight="1">
      <c r="A495" s="293"/>
      <c r="B495" s="292"/>
      <c r="C495" s="188">
        <v>2018</v>
      </c>
      <c r="D495" s="102">
        <v>0</v>
      </c>
      <c r="E495" s="102">
        <v>0</v>
      </c>
      <c r="F495" s="102"/>
      <c r="G495" s="102"/>
      <c r="H495" s="102">
        <v>0</v>
      </c>
      <c r="I495" s="102">
        <v>0</v>
      </c>
      <c r="J495" s="36"/>
      <c r="K495" s="169"/>
      <c r="L495" s="369"/>
    </row>
    <row r="496" spans="1:12" s="14" customFormat="1" ht="19.5" customHeight="1">
      <c r="A496" s="293"/>
      <c r="B496" s="292"/>
      <c r="C496" s="188">
        <v>2019</v>
      </c>
      <c r="D496" s="102">
        <v>0</v>
      </c>
      <c r="E496" s="102">
        <v>0</v>
      </c>
      <c r="F496" s="102"/>
      <c r="G496" s="102"/>
      <c r="H496" s="102">
        <v>0</v>
      </c>
      <c r="I496" s="102">
        <v>0</v>
      </c>
      <c r="J496" s="36"/>
      <c r="K496" s="169"/>
      <c r="L496" s="369"/>
    </row>
    <row r="497" spans="1:12" s="14" customFormat="1" ht="19.5" customHeight="1">
      <c r="A497" s="293"/>
      <c r="B497" s="292"/>
      <c r="C497" s="188">
        <v>2020</v>
      </c>
      <c r="D497" s="102">
        <f>I497</f>
        <v>0</v>
      </c>
      <c r="E497" s="102">
        <v>0</v>
      </c>
      <c r="F497" s="102"/>
      <c r="G497" s="102"/>
      <c r="H497" s="102">
        <v>0</v>
      </c>
      <c r="I497" s="102">
        <v>0</v>
      </c>
      <c r="J497" s="36"/>
      <c r="K497" s="103" t="s">
        <v>240</v>
      </c>
      <c r="L497" s="369"/>
    </row>
    <row r="498" spans="1:12" s="14" customFormat="1" ht="19.5" customHeight="1">
      <c r="A498" s="293"/>
      <c r="B498" s="292"/>
      <c r="C498" s="188">
        <v>2021</v>
      </c>
      <c r="D498" s="102">
        <v>0</v>
      </c>
      <c r="E498" s="102">
        <v>0</v>
      </c>
      <c r="F498" s="102"/>
      <c r="G498" s="102"/>
      <c r="H498" s="102">
        <v>0</v>
      </c>
      <c r="I498" s="102">
        <v>0</v>
      </c>
      <c r="J498" s="36"/>
      <c r="K498" s="169"/>
      <c r="L498" s="369"/>
    </row>
    <row r="499" spans="1:12" s="14" customFormat="1" ht="19.5" customHeight="1">
      <c r="A499" s="293"/>
      <c r="B499" s="292"/>
      <c r="C499" s="188">
        <v>2022</v>
      </c>
      <c r="D499" s="102">
        <v>0</v>
      </c>
      <c r="E499" s="102">
        <v>0</v>
      </c>
      <c r="F499" s="102"/>
      <c r="G499" s="102"/>
      <c r="H499" s="102">
        <v>0</v>
      </c>
      <c r="I499" s="102">
        <v>0</v>
      </c>
      <c r="J499" s="36"/>
      <c r="K499" s="169"/>
      <c r="L499" s="369"/>
    </row>
    <row r="500" spans="1:12" s="14" customFormat="1" ht="19.5" customHeight="1">
      <c r="A500" s="293"/>
      <c r="B500" s="292"/>
      <c r="C500" s="188">
        <v>2023</v>
      </c>
      <c r="D500" s="102">
        <v>0</v>
      </c>
      <c r="E500" s="102">
        <v>0</v>
      </c>
      <c r="F500" s="102"/>
      <c r="G500" s="102"/>
      <c r="H500" s="102">
        <v>0</v>
      </c>
      <c r="I500" s="102">
        <v>0</v>
      </c>
      <c r="J500" s="36"/>
      <c r="K500" s="169"/>
      <c r="L500" s="369"/>
    </row>
    <row r="501" spans="1:12" s="14" customFormat="1" ht="19.5" customHeight="1">
      <c r="A501" s="293" t="s">
        <v>323</v>
      </c>
      <c r="B501" s="292" t="s">
        <v>324</v>
      </c>
      <c r="C501" s="188">
        <v>2017</v>
      </c>
      <c r="D501" s="102">
        <v>0</v>
      </c>
      <c r="E501" s="102">
        <v>0</v>
      </c>
      <c r="F501" s="102"/>
      <c r="G501" s="102"/>
      <c r="H501" s="102">
        <v>0</v>
      </c>
      <c r="I501" s="102">
        <v>0</v>
      </c>
      <c r="J501" s="36"/>
      <c r="K501" s="169"/>
      <c r="L501" s="369"/>
    </row>
    <row r="502" spans="1:12" s="14" customFormat="1" ht="19.5" customHeight="1">
      <c r="A502" s="293"/>
      <c r="B502" s="292"/>
      <c r="C502" s="188">
        <v>2018</v>
      </c>
      <c r="D502" s="102">
        <v>0</v>
      </c>
      <c r="E502" s="102">
        <v>0</v>
      </c>
      <c r="F502" s="102"/>
      <c r="G502" s="102"/>
      <c r="H502" s="102">
        <v>0</v>
      </c>
      <c r="I502" s="102">
        <v>0</v>
      </c>
      <c r="J502" s="36"/>
      <c r="K502" s="169"/>
      <c r="L502" s="369"/>
    </row>
    <row r="503" spans="1:12" s="14" customFormat="1" ht="19.5" customHeight="1">
      <c r="A503" s="293"/>
      <c r="B503" s="292"/>
      <c r="C503" s="188">
        <v>2019</v>
      </c>
      <c r="D503" s="102">
        <v>0</v>
      </c>
      <c r="E503" s="102">
        <v>0</v>
      </c>
      <c r="F503" s="102"/>
      <c r="G503" s="102"/>
      <c r="H503" s="102">
        <v>0</v>
      </c>
      <c r="I503" s="102">
        <v>0</v>
      </c>
      <c r="J503" s="36"/>
      <c r="K503" s="169"/>
      <c r="L503" s="369"/>
    </row>
    <row r="504" spans="1:12" s="14" customFormat="1" ht="19.5" customHeight="1">
      <c r="A504" s="293"/>
      <c r="B504" s="292"/>
      <c r="C504" s="188">
        <v>2020</v>
      </c>
      <c r="D504" s="102">
        <f>I504</f>
        <v>0</v>
      </c>
      <c r="E504" s="102">
        <v>0</v>
      </c>
      <c r="F504" s="102"/>
      <c r="G504" s="102"/>
      <c r="H504" s="102">
        <v>0</v>
      </c>
      <c r="I504" s="102">
        <v>0</v>
      </c>
      <c r="J504" s="36"/>
      <c r="K504" s="103" t="s">
        <v>240</v>
      </c>
      <c r="L504" s="369"/>
    </row>
    <row r="505" spans="1:12" s="14" customFormat="1" ht="19.5" customHeight="1">
      <c r="A505" s="293"/>
      <c r="B505" s="292"/>
      <c r="C505" s="188">
        <v>2021</v>
      </c>
      <c r="D505" s="102">
        <v>0</v>
      </c>
      <c r="E505" s="102">
        <v>0</v>
      </c>
      <c r="F505" s="102"/>
      <c r="G505" s="102"/>
      <c r="H505" s="102">
        <v>0</v>
      </c>
      <c r="I505" s="102">
        <v>0</v>
      </c>
      <c r="J505" s="36"/>
      <c r="K505" s="169"/>
      <c r="L505" s="369"/>
    </row>
    <row r="506" spans="1:12" s="14" customFormat="1" ht="19.5" customHeight="1">
      <c r="A506" s="293"/>
      <c r="B506" s="292"/>
      <c r="C506" s="188">
        <v>2022</v>
      </c>
      <c r="D506" s="102">
        <v>0</v>
      </c>
      <c r="E506" s="102">
        <v>0</v>
      </c>
      <c r="F506" s="102"/>
      <c r="G506" s="102"/>
      <c r="H506" s="102">
        <v>0</v>
      </c>
      <c r="I506" s="102">
        <v>0</v>
      </c>
      <c r="J506" s="36"/>
      <c r="K506" s="169"/>
      <c r="L506" s="369"/>
    </row>
    <row r="507" spans="1:12" s="14" customFormat="1" ht="19.5" customHeight="1">
      <c r="A507" s="293"/>
      <c r="B507" s="292"/>
      <c r="C507" s="188">
        <v>2023</v>
      </c>
      <c r="D507" s="102">
        <v>0</v>
      </c>
      <c r="E507" s="102">
        <v>0</v>
      </c>
      <c r="F507" s="102"/>
      <c r="G507" s="102"/>
      <c r="H507" s="102">
        <v>0</v>
      </c>
      <c r="I507" s="102">
        <v>0</v>
      </c>
      <c r="J507" s="36"/>
      <c r="K507" s="169"/>
      <c r="L507" s="369"/>
    </row>
    <row r="508" spans="1:12" s="14" customFormat="1" ht="19.5" customHeight="1">
      <c r="A508" s="293" t="s">
        <v>325</v>
      </c>
      <c r="B508" s="292" t="s">
        <v>326</v>
      </c>
      <c r="C508" s="188">
        <v>2017</v>
      </c>
      <c r="D508" s="102">
        <v>0</v>
      </c>
      <c r="E508" s="102">
        <v>0</v>
      </c>
      <c r="F508" s="102"/>
      <c r="G508" s="102"/>
      <c r="H508" s="102">
        <v>0</v>
      </c>
      <c r="I508" s="102">
        <v>0</v>
      </c>
      <c r="J508" s="36"/>
      <c r="K508" s="169"/>
      <c r="L508" s="369"/>
    </row>
    <row r="509" spans="1:12" s="14" customFormat="1" ht="19.5" customHeight="1">
      <c r="A509" s="293"/>
      <c r="B509" s="292"/>
      <c r="C509" s="188">
        <v>2018</v>
      </c>
      <c r="D509" s="102">
        <v>0</v>
      </c>
      <c r="E509" s="102">
        <v>0</v>
      </c>
      <c r="F509" s="102"/>
      <c r="G509" s="102"/>
      <c r="H509" s="102">
        <v>0</v>
      </c>
      <c r="I509" s="102">
        <v>0</v>
      </c>
      <c r="J509" s="36"/>
      <c r="K509" s="169"/>
      <c r="L509" s="369"/>
    </row>
    <row r="510" spans="1:12" s="14" customFormat="1" ht="19.5" customHeight="1">
      <c r="A510" s="293"/>
      <c r="B510" s="292"/>
      <c r="C510" s="188">
        <v>2019</v>
      </c>
      <c r="D510" s="102">
        <v>0</v>
      </c>
      <c r="E510" s="102">
        <v>0</v>
      </c>
      <c r="F510" s="102"/>
      <c r="G510" s="102"/>
      <c r="H510" s="102">
        <v>0</v>
      </c>
      <c r="I510" s="102">
        <v>0</v>
      </c>
      <c r="J510" s="36"/>
      <c r="K510" s="169"/>
      <c r="L510" s="369"/>
    </row>
    <row r="511" spans="1:12" s="14" customFormat="1" ht="19.5" customHeight="1">
      <c r="A511" s="293"/>
      <c r="B511" s="292"/>
      <c r="C511" s="188">
        <v>2020</v>
      </c>
      <c r="D511" s="102">
        <f>I511</f>
        <v>0</v>
      </c>
      <c r="E511" s="102">
        <v>0</v>
      </c>
      <c r="F511" s="102"/>
      <c r="G511" s="102"/>
      <c r="H511" s="102">
        <v>0</v>
      </c>
      <c r="I511" s="102">
        <v>0</v>
      </c>
      <c r="J511" s="36"/>
      <c r="K511" s="103" t="s">
        <v>240</v>
      </c>
      <c r="L511" s="369"/>
    </row>
    <row r="512" spans="1:12" s="14" customFormat="1" ht="19.5" customHeight="1">
      <c r="A512" s="293"/>
      <c r="B512" s="292"/>
      <c r="C512" s="188">
        <v>2021</v>
      </c>
      <c r="D512" s="102">
        <v>0</v>
      </c>
      <c r="E512" s="102">
        <v>0</v>
      </c>
      <c r="F512" s="102"/>
      <c r="G512" s="102"/>
      <c r="H512" s="102">
        <v>0</v>
      </c>
      <c r="I512" s="102">
        <v>0</v>
      </c>
      <c r="J512" s="36"/>
      <c r="K512" s="169"/>
      <c r="L512" s="369"/>
    </row>
    <row r="513" spans="1:12" s="14" customFormat="1" ht="19.5" customHeight="1">
      <c r="A513" s="293"/>
      <c r="B513" s="292"/>
      <c r="C513" s="188">
        <v>2022</v>
      </c>
      <c r="D513" s="102">
        <v>0</v>
      </c>
      <c r="E513" s="102">
        <v>0</v>
      </c>
      <c r="F513" s="102"/>
      <c r="G513" s="102"/>
      <c r="H513" s="102">
        <v>0</v>
      </c>
      <c r="I513" s="102">
        <v>0</v>
      </c>
      <c r="J513" s="36"/>
      <c r="K513" s="169"/>
      <c r="L513" s="369"/>
    </row>
    <row r="514" spans="1:12" s="14" customFormat="1" ht="19.5" customHeight="1">
      <c r="A514" s="293"/>
      <c r="B514" s="292"/>
      <c r="C514" s="188">
        <v>2023</v>
      </c>
      <c r="D514" s="102">
        <v>0</v>
      </c>
      <c r="E514" s="102">
        <v>0</v>
      </c>
      <c r="F514" s="102"/>
      <c r="G514" s="102"/>
      <c r="H514" s="102">
        <v>0</v>
      </c>
      <c r="I514" s="102">
        <v>0</v>
      </c>
      <c r="J514" s="36"/>
      <c r="K514" s="169"/>
      <c r="L514" s="369"/>
    </row>
    <row r="515" spans="1:12" s="14" customFormat="1" ht="19.5" customHeight="1">
      <c r="A515" s="293" t="s">
        <v>327</v>
      </c>
      <c r="B515" s="297" t="s">
        <v>328</v>
      </c>
      <c r="C515" s="188">
        <v>2017</v>
      </c>
      <c r="D515" s="102">
        <v>0</v>
      </c>
      <c r="E515" s="102">
        <v>0</v>
      </c>
      <c r="F515" s="102"/>
      <c r="G515" s="102"/>
      <c r="H515" s="102">
        <v>0</v>
      </c>
      <c r="I515" s="102">
        <v>0</v>
      </c>
      <c r="J515" s="36"/>
      <c r="K515" s="169"/>
      <c r="L515" s="369"/>
    </row>
    <row r="516" spans="1:12" s="14" customFormat="1" ht="19.5" customHeight="1">
      <c r="A516" s="293"/>
      <c r="B516" s="298"/>
      <c r="C516" s="188">
        <v>2018</v>
      </c>
      <c r="D516" s="102">
        <v>0</v>
      </c>
      <c r="E516" s="102">
        <v>0</v>
      </c>
      <c r="F516" s="102"/>
      <c r="G516" s="102"/>
      <c r="H516" s="102">
        <v>0</v>
      </c>
      <c r="I516" s="102">
        <v>0</v>
      </c>
      <c r="J516" s="36"/>
      <c r="K516" s="169"/>
      <c r="L516" s="369"/>
    </row>
    <row r="517" spans="1:12" s="14" customFormat="1" ht="19.5" customHeight="1">
      <c r="A517" s="293"/>
      <c r="B517" s="298"/>
      <c r="C517" s="188">
        <v>2019</v>
      </c>
      <c r="D517" s="102">
        <v>0</v>
      </c>
      <c r="E517" s="102">
        <v>0</v>
      </c>
      <c r="F517" s="102"/>
      <c r="G517" s="102"/>
      <c r="H517" s="102">
        <v>0</v>
      </c>
      <c r="I517" s="102">
        <v>0</v>
      </c>
      <c r="J517" s="36"/>
      <c r="K517" s="169"/>
      <c r="L517" s="369"/>
    </row>
    <row r="518" spans="1:12" s="14" customFormat="1" ht="19.5" customHeight="1">
      <c r="A518" s="293"/>
      <c r="B518" s="298"/>
      <c r="C518" s="188">
        <v>2020</v>
      </c>
      <c r="D518" s="102">
        <f>I518</f>
        <v>0</v>
      </c>
      <c r="E518" s="102">
        <v>0</v>
      </c>
      <c r="F518" s="102"/>
      <c r="G518" s="102"/>
      <c r="H518" s="102">
        <v>0</v>
      </c>
      <c r="I518" s="102">
        <v>0</v>
      </c>
      <c r="J518" s="36"/>
      <c r="K518" s="103" t="s">
        <v>240</v>
      </c>
      <c r="L518" s="369"/>
    </row>
    <row r="519" spans="1:12" s="14" customFormat="1" ht="19.5" customHeight="1">
      <c r="A519" s="293"/>
      <c r="B519" s="298"/>
      <c r="C519" s="188">
        <v>2021</v>
      </c>
      <c r="D519" s="102">
        <v>0</v>
      </c>
      <c r="E519" s="102">
        <v>0</v>
      </c>
      <c r="F519" s="102"/>
      <c r="G519" s="102"/>
      <c r="H519" s="102">
        <v>0</v>
      </c>
      <c r="I519" s="102">
        <v>0</v>
      </c>
      <c r="J519" s="36"/>
      <c r="K519" s="169"/>
      <c r="L519" s="369"/>
    </row>
    <row r="520" spans="1:12" s="14" customFormat="1" ht="19.5" customHeight="1">
      <c r="A520" s="293"/>
      <c r="B520" s="298"/>
      <c r="C520" s="188">
        <v>2022</v>
      </c>
      <c r="D520" s="102">
        <v>0</v>
      </c>
      <c r="E520" s="102">
        <v>0</v>
      </c>
      <c r="F520" s="102"/>
      <c r="G520" s="102"/>
      <c r="H520" s="102">
        <v>0</v>
      </c>
      <c r="I520" s="102">
        <v>0</v>
      </c>
      <c r="J520" s="36"/>
      <c r="K520" s="169"/>
      <c r="L520" s="369"/>
    </row>
    <row r="521" spans="1:12" s="14" customFormat="1" ht="19.5" customHeight="1">
      <c r="A521" s="293"/>
      <c r="B521" s="299"/>
      <c r="C521" s="188">
        <v>2023</v>
      </c>
      <c r="D521" s="102">
        <v>0</v>
      </c>
      <c r="E521" s="102">
        <v>0</v>
      </c>
      <c r="F521" s="102"/>
      <c r="G521" s="102"/>
      <c r="H521" s="102">
        <v>0</v>
      </c>
      <c r="I521" s="102">
        <v>0</v>
      </c>
      <c r="J521" s="36"/>
      <c r="K521" s="169"/>
      <c r="L521" s="369"/>
    </row>
    <row r="522" spans="1:12" s="14" customFormat="1" ht="19.5" customHeight="1">
      <c r="A522" s="293" t="s">
        <v>332</v>
      </c>
      <c r="B522" s="292" t="s">
        <v>395</v>
      </c>
      <c r="C522" s="188">
        <v>2017</v>
      </c>
      <c r="D522" s="102">
        <v>0</v>
      </c>
      <c r="E522" s="102">
        <v>0</v>
      </c>
      <c r="F522" s="102"/>
      <c r="G522" s="102"/>
      <c r="H522" s="102">
        <v>0</v>
      </c>
      <c r="I522" s="102">
        <v>0</v>
      </c>
      <c r="J522" s="36"/>
      <c r="K522" s="169"/>
      <c r="L522" s="369"/>
    </row>
    <row r="523" spans="1:12" s="14" customFormat="1" ht="19.5" customHeight="1">
      <c r="A523" s="293"/>
      <c r="B523" s="292"/>
      <c r="C523" s="188">
        <v>2018</v>
      </c>
      <c r="D523" s="102">
        <v>0</v>
      </c>
      <c r="E523" s="102">
        <v>0</v>
      </c>
      <c r="F523" s="102"/>
      <c r="G523" s="102"/>
      <c r="H523" s="102">
        <v>0</v>
      </c>
      <c r="I523" s="102">
        <v>0</v>
      </c>
      <c r="J523" s="36"/>
      <c r="K523" s="169"/>
      <c r="L523" s="369"/>
    </row>
    <row r="524" spans="1:12" s="14" customFormat="1" ht="19.5" customHeight="1">
      <c r="A524" s="293"/>
      <c r="B524" s="292"/>
      <c r="C524" s="188">
        <v>2019</v>
      </c>
      <c r="D524" s="102">
        <v>0</v>
      </c>
      <c r="E524" s="102">
        <v>0</v>
      </c>
      <c r="F524" s="102"/>
      <c r="G524" s="102"/>
      <c r="H524" s="102">
        <v>0</v>
      </c>
      <c r="I524" s="102">
        <v>0</v>
      </c>
      <c r="J524" s="36"/>
      <c r="K524" s="169"/>
      <c r="L524" s="369"/>
    </row>
    <row r="525" spans="1:12" s="165" customFormat="1" ht="19.5" customHeight="1">
      <c r="A525" s="293"/>
      <c r="B525" s="292"/>
      <c r="C525" s="188">
        <v>2020</v>
      </c>
      <c r="D525" s="102">
        <f>I525</f>
        <v>730</v>
      </c>
      <c r="E525" s="102">
        <v>0</v>
      </c>
      <c r="F525" s="102"/>
      <c r="G525" s="102"/>
      <c r="H525" s="102">
        <v>0</v>
      </c>
      <c r="I525" s="102">
        <v>730</v>
      </c>
      <c r="J525" s="36"/>
      <c r="K525" s="169" t="s">
        <v>329</v>
      </c>
      <c r="L525" s="369"/>
    </row>
    <row r="526" spans="1:12" s="14" customFormat="1" ht="19.5" customHeight="1">
      <c r="A526" s="293"/>
      <c r="B526" s="292"/>
      <c r="C526" s="188">
        <v>2021</v>
      </c>
      <c r="D526" s="102">
        <v>0</v>
      </c>
      <c r="E526" s="102">
        <v>0</v>
      </c>
      <c r="F526" s="102"/>
      <c r="G526" s="102"/>
      <c r="H526" s="102">
        <v>0</v>
      </c>
      <c r="I526" s="102">
        <v>0</v>
      </c>
      <c r="J526" s="36"/>
      <c r="K526" s="169"/>
      <c r="L526" s="369"/>
    </row>
    <row r="527" spans="1:12" s="14" customFormat="1" ht="19.5" customHeight="1">
      <c r="A527" s="293"/>
      <c r="B527" s="292"/>
      <c r="C527" s="188">
        <v>2022</v>
      </c>
      <c r="D527" s="102">
        <v>0</v>
      </c>
      <c r="E527" s="102">
        <v>0</v>
      </c>
      <c r="F527" s="102"/>
      <c r="G527" s="102"/>
      <c r="H527" s="102">
        <v>0</v>
      </c>
      <c r="I527" s="102">
        <v>0</v>
      </c>
      <c r="J527" s="36"/>
      <c r="K527" s="169"/>
      <c r="L527" s="369"/>
    </row>
    <row r="528" spans="1:12" s="14" customFormat="1" ht="19.5" customHeight="1">
      <c r="A528" s="293"/>
      <c r="B528" s="292"/>
      <c r="C528" s="188">
        <v>2023</v>
      </c>
      <c r="D528" s="102">
        <v>0</v>
      </c>
      <c r="E528" s="102">
        <v>0</v>
      </c>
      <c r="F528" s="102"/>
      <c r="G528" s="102"/>
      <c r="H528" s="102">
        <v>0</v>
      </c>
      <c r="I528" s="102">
        <v>0</v>
      </c>
      <c r="J528" s="36"/>
      <c r="K528" s="169"/>
      <c r="L528" s="369"/>
    </row>
    <row r="529" spans="1:12" s="14" customFormat="1" ht="19.5" customHeight="1">
      <c r="A529" s="293" t="s">
        <v>333</v>
      </c>
      <c r="B529" s="292" t="s">
        <v>330</v>
      </c>
      <c r="C529" s="188">
        <v>2017</v>
      </c>
      <c r="D529" s="102">
        <v>0</v>
      </c>
      <c r="E529" s="102">
        <v>0</v>
      </c>
      <c r="F529" s="102"/>
      <c r="G529" s="102"/>
      <c r="H529" s="102">
        <v>0</v>
      </c>
      <c r="I529" s="102">
        <v>0</v>
      </c>
      <c r="J529" s="36"/>
      <c r="K529" s="169"/>
      <c r="L529" s="369"/>
    </row>
    <row r="530" spans="1:12" s="14" customFormat="1" ht="19.5" customHeight="1">
      <c r="A530" s="293"/>
      <c r="B530" s="292"/>
      <c r="C530" s="188">
        <v>2018</v>
      </c>
      <c r="D530" s="102">
        <v>0</v>
      </c>
      <c r="E530" s="102">
        <v>0</v>
      </c>
      <c r="F530" s="102"/>
      <c r="G530" s="102"/>
      <c r="H530" s="102">
        <v>0</v>
      </c>
      <c r="I530" s="102">
        <v>0</v>
      </c>
      <c r="J530" s="36"/>
      <c r="K530" s="169"/>
      <c r="L530" s="369"/>
    </row>
    <row r="531" spans="1:12" s="14" customFormat="1" ht="19.5" customHeight="1">
      <c r="A531" s="293"/>
      <c r="B531" s="292"/>
      <c r="C531" s="188">
        <v>2019</v>
      </c>
      <c r="D531" s="102">
        <v>0</v>
      </c>
      <c r="E531" s="102">
        <v>0</v>
      </c>
      <c r="F531" s="102"/>
      <c r="G531" s="102"/>
      <c r="H531" s="102">
        <v>0</v>
      </c>
      <c r="I531" s="102">
        <v>0</v>
      </c>
      <c r="J531" s="36"/>
      <c r="K531" s="169"/>
      <c r="L531" s="369"/>
    </row>
    <row r="532" spans="1:12" s="14" customFormat="1" ht="19.5" customHeight="1">
      <c r="A532" s="293"/>
      <c r="B532" s="292"/>
      <c r="C532" s="188">
        <v>2020</v>
      </c>
      <c r="D532" s="102">
        <f>I532</f>
        <v>270</v>
      </c>
      <c r="E532" s="102">
        <v>0</v>
      </c>
      <c r="F532" s="102"/>
      <c r="G532" s="102"/>
      <c r="H532" s="102">
        <v>0</v>
      </c>
      <c r="I532" s="102">
        <f>270</f>
        <v>270</v>
      </c>
      <c r="J532" s="36"/>
      <c r="K532" s="169" t="s">
        <v>329</v>
      </c>
      <c r="L532" s="369"/>
    </row>
    <row r="533" spans="1:12" s="14" customFormat="1" ht="19.5" customHeight="1">
      <c r="A533" s="293"/>
      <c r="B533" s="292"/>
      <c r="C533" s="188">
        <v>2021</v>
      </c>
      <c r="D533" s="102">
        <v>0</v>
      </c>
      <c r="E533" s="102">
        <v>0</v>
      </c>
      <c r="F533" s="102"/>
      <c r="G533" s="102"/>
      <c r="H533" s="102">
        <v>0</v>
      </c>
      <c r="I533" s="102">
        <v>0</v>
      </c>
      <c r="J533" s="36"/>
      <c r="K533" s="169"/>
      <c r="L533" s="369"/>
    </row>
    <row r="534" spans="1:12" s="14" customFormat="1" ht="19.5" customHeight="1">
      <c r="A534" s="293"/>
      <c r="B534" s="292"/>
      <c r="C534" s="188">
        <v>2022</v>
      </c>
      <c r="D534" s="102">
        <v>0</v>
      </c>
      <c r="E534" s="102">
        <v>0</v>
      </c>
      <c r="F534" s="102"/>
      <c r="G534" s="102"/>
      <c r="H534" s="102">
        <v>0</v>
      </c>
      <c r="I534" s="102">
        <v>0</v>
      </c>
      <c r="J534" s="36"/>
      <c r="K534" s="169"/>
      <c r="L534" s="369"/>
    </row>
    <row r="535" spans="1:12" s="14" customFormat="1" ht="19.5" customHeight="1">
      <c r="A535" s="293"/>
      <c r="B535" s="292"/>
      <c r="C535" s="188">
        <v>2023</v>
      </c>
      <c r="D535" s="102">
        <v>0</v>
      </c>
      <c r="E535" s="102">
        <v>0</v>
      </c>
      <c r="F535" s="102"/>
      <c r="G535" s="102"/>
      <c r="H535" s="102">
        <v>0</v>
      </c>
      <c r="I535" s="102">
        <v>0</v>
      </c>
      <c r="J535" s="36"/>
      <c r="K535" s="169"/>
      <c r="L535" s="369"/>
    </row>
    <row r="536" spans="1:12" s="14" customFormat="1" ht="19.5" customHeight="1">
      <c r="A536" s="293" t="s">
        <v>334</v>
      </c>
      <c r="B536" s="292" t="s">
        <v>331</v>
      </c>
      <c r="C536" s="188">
        <v>2017</v>
      </c>
      <c r="D536" s="102">
        <v>0</v>
      </c>
      <c r="E536" s="102">
        <v>0</v>
      </c>
      <c r="F536" s="102"/>
      <c r="G536" s="102"/>
      <c r="H536" s="102">
        <v>0</v>
      </c>
      <c r="I536" s="102">
        <v>0</v>
      </c>
      <c r="J536" s="36"/>
      <c r="K536" s="169"/>
      <c r="L536" s="369"/>
    </row>
    <row r="537" spans="1:12" s="14" customFormat="1" ht="19.5" customHeight="1">
      <c r="A537" s="293"/>
      <c r="B537" s="292"/>
      <c r="C537" s="188">
        <v>2018</v>
      </c>
      <c r="D537" s="102">
        <v>0</v>
      </c>
      <c r="E537" s="102">
        <v>0</v>
      </c>
      <c r="F537" s="102"/>
      <c r="G537" s="102"/>
      <c r="H537" s="102">
        <v>0</v>
      </c>
      <c r="I537" s="102">
        <v>0</v>
      </c>
      <c r="J537" s="36"/>
      <c r="K537" s="169"/>
      <c r="L537" s="369"/>
    </row>
    <row r="538" spans="1:12" s="14" customFormat="1" ht="19.5" customHeight="1">
      <c r="A538" s="293"/>
      <c r="B538" s="292"/>
      <c r="C538" s="188">
        <v>2019</v>
      </c>
      <c r="D538" s="102">
        <v>0</v>
      </c>
      <c r="E538" s="102">
        <v>0</v>
      </c>
      <c r="F538" s="102"/>
      <c r="G538" s="102"/>
      <c r="H538" s="102">
        <v>0</v>
      </c>
      <c r="I538" s="102">
        <v>0</v>
      </c>
      <c r="J538" s="36"/>
      <c r="K538" s="169"/>
      <c r="L538" s="369"/>
    </row>
    <row r="539" spans="1:12" s="14" customFormat="1" ht="19.5" customHeight="1">
      <c r="A539" s="293"/>
      <c r="B539" s="292"/>
      <c r="C539" s="188">
        <v>2020</v>
      </c>
      <c r="D539" s="102">
        <f>I539</f>
        <v>103.99</v>
      </c>
      <c r="E539" s="102">
        <v>0</v>
      </c>
      <c r="F539" s="102"/>
      <c r="G539" s="102"/>
      <c r="H539" s="102">
        <v>0</v>
      </c>
      <c r="I539" s="102">
        <v>103.99</v>
      </c>
      <c r="J539" s="36"/>
      <c r="K539" s="169" t="s">
        <v>244</v>
      </c>
      <c r="L539" s="369"/>
    </row>
    <row r="540" spans="1:12" s="14" customFormat="1" ht="19.5" customHeight="1">
      <c r="A540" s="293"/>
      <c r="B540" s="292"/>
      <c r="C540" s="188">
        <v>2021</v>
      </c>
      <c r="D540" s="102">
        <v>0</v>
      </c>
      <c r="E540" s="102">
        <v>0</v>
      </c>
      <c r="F540" s="102"/>
      <c r="G540" s="102"/>
      <c r="H540" s="102">
        <v>0</v>
      </c>
      <c r="I540" s="102">
        <v>0</v>
      </c>
      <c r="J540" s="36"/>
      <c r="K540" s="169"/>
      <c r="L540" s="369"/>
    </row>
    <row r="541" spans="1:12" s="14" customFormat="1" ht="19.5" customHeight="1">
      <c r="A541" s="293"/>
      <c r="B541" s="292"/>
      <c r="C541" s="188">
        <v>2022</v>
      </c>
      <c r="D541" s="102">
        <v>0</v>
      </c>
      <c r="E541" s="102">
        <v>0</v>
      </c>
      <c r="F541" s="102"/>
      <c r="G541" s="102"/>
      <c r="H541" s="102">
        <v>0</v>
      </c>
      <c r="I541" s="102">
        <v>0</v>
      </c>
      <c r="J541" s="36"/>
      <c r="K541" s="169"/>
      <c r="L541" s="369"/>
    </row>
    <row r="542" spans="1:12" s="14" customFormat="1" ht="19.5" customHeight="1">
      <c r="A542" s="293"/>
      <c r="B542" s="292"/>
      <c r="C542" s="188">
        <v>2023</v>
      </c>
      <c r="D542" s="102">
        <v>0</v>
      </c>
      <c r="E542" s="102">
        <v>0</v>
      </c>
      <c r="F542" s="102"/>
      <c r="G542" s="102"/>
      <c r="H542" s="102">
        <v>0</v>
      </c>
      <c r="I542" s="102">
        <v>0</v>
      </c>
      <c r="J542" s="36"/>
      <c r="K542" s="169"/>
      <c r="L542" s="369"/>
    </row>
    <row r="543" spans="1:12" s="14" customFormat="1" ht="19.5" customHeight="1">
      <c r="A543" s="293" t="s">
        <v>335</v>
      </c>
      <c r="B543" s="297" t="s">
        <v>371</v>
      </c>
      <c r="C543" s="188">
        <v>2017</v>
      </c>
      <c r="D543" s="102">
        <v>0</v>
      </c>
      <c r="E543" s="102">
        <v>0</v>
      </c>
      <c r="F543" s="102"/>
      <c r="G543" s="102"/>
      <c r="H543" s="102">
        <v>0</v>
      </c>
      <c r="I543" s="102">
        <v>0</v>
      </c>
      <c r="J543" s="36"/>
      <c r="K543" s="169"/>
      <c r="L543" s="369"/>
    </row>
    <row r="544" spans="1:12" s="14" customFormat="1" ht="19.5" customHeight="1">
      <c r="A544" s="293"/>
      <c r="B544" s="298"/>
      <c r="C544" s="188">
        <v>2018</v>
      </c>
      <c r="D544" s="102">
        <v>0</v>
      </c>
      <c r="E544" s="102">
        <v>0</v>
      </c>
      <c r="F544" s="102"/>
      <c r="G544" s="102"/>
      <c r="H544" s="102">
        <v>0</v>
      </c>
      <c r="I544" s="102">
        <v>0</v>
      </c>
      <c r="J544" s="36"/>
      <c r="K544" s="169"/>
      <c r="L544" s="369"/>
    </row>
    <row r="545" spans="1:12" s="14" customFormat="1" ht="19.5" customHeight="1">
      <c r="A545" s="293"/>
      <c r="B545" s="298"/>
      <c r="C545" s="188">
        <v>2019</v>
      </c>
      <c r="D545" s="102">
        <v>0</v>
      </c>
      <c r="E545" s="102">
        <v>0</v>
      </c>
      <c r="F545" s="102"/>
      <c r="G545" s="102"/>
      <c r="H545" s="102">
        <v>0</v>
      </c>
      <c r="I545" s="102">
        <v>0</v>
      </c>
      <c r="J545" s="36"/>
      <c r="K545" s="169"/>
      <c r="L545" s="369"/>
    </row>
    <row r="546" spans="1:12" s="14" customFormat="1" ht="19.5" customHeight="1">
      <c r="A546" s="293"/>
      <c r="B546" s="298"/>
      <c r="C546" s="188">
        <v>2020</v>
      </c>
      <c r="D546" s="102">
        <f>I546</f>
        <v>71</v>
      </c>
      <c r="E546" s="102">
        <v>0</v>
      </c>
      <c r="F546" s="102"/>
      <c r="G546" s="102"/>
      <c r="H546" s="102">
        <v>0</v>
      </c>
      <c r="I546" s="102">
        <f>25+4+40+2</f>
        <v>71</v>
      </c>
      <c r="J546" s="36"/>
      <c r="K546" s="169" t="s">
        <v>256</v>
      </c>
      <c r="L546" s="369"/>
    </row>
    <row r="547" spans="1:12" s="14" customFormat="1" ht="19.5" customHeight="1">
      <c r="A547" s="293"/>
      <c r="B547" s="298"/>
      <c r="C547" s="188">
        <v>2021</v>
      </c>
      <c r="D547" s="102">
        <v>0</v>
      </c>
      <c r="E547" s="102">
        <v>0</v>
      </c>
      <c r="F547" s="102"/>
      <c r="G547" s="102"/>
      <c r="H547" s="102">
        <v>0</v>
      </c>
      <c r="I547" s="102">
        <v>0</v>
      </c>
      <c r="J547" s="36"/>
      <c r="K547" s="169"/>
      <c r="L547" s="369"/>
    </row>
    <row r="548" spans="1:12" s="14" customFormat="1" ht="19.5" customHeight="1">
      <c r="A548" s="293"/>
      <c r="B548" s="298"/>
      <c r="C548" s="188">
        <v>2022</v>
      </c>
      <c r="D548" s="102">
        <v>0</v>
      </c>
      <c r="E548" s="102">
        <v>0</v>
      </c>
      <c r="F548" s="102"/>
      <c r="G548" s="102"/>
      <c r="H548" s="102">
        <v>0</v>
      </c>
      <c r="I548" s="102">
        <v>0</v>
      </c>
      <c r="J548" s="36"/>
      <c r="K548" s="169"/>
      <c r="L548" s="369"/>
    </row>
    <row r="549" spans="1:12" s="14" customFormat="1" ht="19.5" customHeight="1">
      <c r="A549" s="293"/>
      <c r="B549" s="299"/>
      <c r="C549" s="188">
        <v>2023</v>
      </c>
      <c r="D549" s="102">
        <v>0</v>
      </c>
      <c r="E549" s="102">
        <v>0</v>
      </c>
      <c r="F549" s="102"/>
      <c r="G549" s="102"/>
      <c r="H549" s="102">
        <v>0</v>
      </c>
      <c r="I549" s="102">
        <v>0</v>
      </c>
      <c r="J549" s="36"/>
      <c r="K549" s="169"/>
      <c r="L549" s="369"/>
    </row>
    <row r="550" spans="1:12" s="14" customFormat="1" ht="19.5" customHeight="1">
      <c r="A550" s="293" t="s">
        <v>337</v>
      </c>
      <c r="B550" s="297" t="s">
        <v>380</v>
      </c>
      <c r="C550" s="188">
        <v>2017</v>
      </c>
      <c r="D550" s="102">
        <v>0</v>
      </c>
      <c r="E550" s="102">
        <v>0</v>
      </c>
      <c r="F550" s="102"/>
      <c r="G550" s="102"/>
      <c r="H550" s="102">
        <v>0</v>
      </c>
      <c r="I550" s="102">
        <v>0</v>
      </c>
      <c r="J550" s="36"/>
      <c r="K550" s="169"/>
      <c r="L550" s="369"/>
    </row>
    <row r="551" spans="1:12" s="14" customFormat="1" ht="19.5" customHeight="1">
      <c r="A551" s="293"/>
      <c r="B551" s="298"/>
      <c r="C551" s="188">
        <v>2018</v>
      </c>
      <c r="D551" s="102">
        <v>0</v>
      </c>
      <c r="E551" s="102">
        <v>0</v>
      </c>
      <c r="F551" s="102"/>
      <c r="G551" s="102"/>
      <c r="H551" s="102">
        <v>0</v>
      </c>
      <c r="I551" s="102">
        <v>0</v>
      </c>
      <c r="J551" s="36"/>
      <c r="K551" s="169"/>
      <c r="L551" s="369"/>
    </row>
    <row r="552" spans="1:12" s="14" customFormat="1" ht="19.5" customHeight="1">
      <c r="A552" s="293"/>
      <c r="B552" s="298"/>
      <c r="C552" s="188">
        <v>2019</v>
      </c>
      <c r="D552" s="102">
        <v>0</v>
      </c>
      <c r="E552" s="102">
        <v>0</v>
      </c>
      <c r="F552" s="102"/>
      <c r="G552" s="102"/>
      <c r="H552" s="102">
        <v>0</v>
      </c>
      <c r="I552" s="102">
        <v>0</v>
      </c>
      <c r="J552" s="36"/>
      <c r="K552" s="169"/>
      <c r="L552" s="369"/>
    </row>
    <row r="553" spans="1:12" s="14" customFormat="1" ht="19.5" customHeight="1">
      <c r="A553" s="293"/>
      <c r="B553" s="298"/>
      <c r="C553" s="188">
        <v>2020</v>
      </c>
      <c r="D553" s="102">
        <f>I553</f>
        <v>563.8043</v>
      </c>
      <c r="E553" s="102">
        <v>0</v>
      </c>
      <c r="F553" s="102"/>
      <c r="G553" s="102"/>
      <c r="H553" s="102">
        <v>0</v>
      </c>
      <c r="I553" s="102">
        <f>773.323-200.353-9.1657</f>
        <v>563.8043</v>
      </c>
      <c r="J553" s="36"/>
      <c r="K553" s="169" t="s">
        <v>340</v>
      </c>
      <c r="L553" s="369"/>
    </row>
    <row r="554" spans="1:12" s="14" customFormat="1" ht="19.5" customHeight="1">
      <c r="A554" s="293"/>
      <c r="B554" s="298"/>
      <c r="C554" s="188">
        <v>2021</v>
      </c>
      <c r="D554" s="102">
        <v>0</v>
      </c>
      <c r="E554" s="102">
        <v>0</v>
      </c>
      <c r="F554" s="102"/>
      <c r="G554" s="102"/>
      <c r="H554" s="102">
        <v>0</v>
      </c>
      <c r="I554" s="102">
        <v>0</v>
      </c>
      <c r="J554" s="36"/>
      <c r="K554" s="169"/>
      <c r="L554" s="369"/>
    </row>
    <row r="555" spans="1:12" s="14" customFormat="1" ht="19.5" customHeight="1">
      <c r="A555" s="293"/>
      <c r="B555" s="298"/>
      <c r="C555" s="188">
        <v>2022</v>
      </c>
      <c r="D555" s="102">
        <v>0</v>
      </c>
      <c r="E555" s="102">
        <v>0</v>
      </c>
      <c r="F555" s="102"/>
      <c r="G555" s="102"/>
      <c r="H555" s="102">
        <v>0</v>
      </c>
      <c r="I555" s="102">
        <v>0</v>
      </c>
      <c r="J555" s="36"/>
      <c r="K555" s="169"/>
      <c r="L555" s="369"/>
    </row>
    <row r="556" spans="1:12" s="14" customFormat="1" ht="19.5" customHeight="1">
      <c r="A556" s="293"/>
      <c r="B556" s="299"/>
      <c r="C556" s="188">
        <v>2023</v>
      </c>
      <c r="D556" s="102">
        <v>0</v>
      </c>
      <c r="E556" s="102">
        <v>0</v>
      </c>
      <c r="F556" s="102"/>
      <c r="G556" s="102"/>
      <c r="H556" s="102">
        <v>0</v>
      </c>
      <c r="I556" s="102">
        <v>0</v>
      </c>
      <c r="J556" s="36"/>
      <c r="K556" s="169"/>
      <c r="L556" s="369"/>
    </row>
    <row r="557" spans="1:12" s="14" customFormat="1" ht="19.5" customHeight="1">
      <c r="A557" s="293" t="s">
        <v>338</v>
      </c>
      <c r="B557" s="297" t="s">
        <v>369</v>
      </c>
      <c r="C557" s="188">
        <v>2017</v>
      </c>
      <c r="D557" s="102">
        <v>0</v>
      </c>
      <c r="E557" s="102">
        <v>0</v>
      </c>
      <c r="F557" s="102"/>
      <c r="G557" s="102"/>
      <c r="H557" s="102">
        <v>0</v>
      </c>
      <c r="I557" s="102">
        <v>0</v>
      </c>
      <c r="J557" s="36"/>
      <c r="K557" s="169"/>
      <c r="L557" s="369"/>
    </row>
    <row r="558" spans="1:12" s="14" customFormat="1" ht="19.5" customHeight="1">
      <c r="A558" s="293"/>
      <c r="B558" s="298"/>
      <c r="C558" s="188">
        <v>2018</v>
      </c>
      <c r="D558" s="102">
        <v>0</v>
      </c>
      <c r="E558" s="102">
        <v>0</v>
      </c>
      <c r="F558" s="102"/>
      <c r="G558" s="102"/>
      <c r="H558" s="102">
        <v>0</v>
      </c>
      <c r="I558" s="102">
        <v>0</v>
      </c>
      <c r="J558" s="36"/>
      <c r="K558" s="169"/>
      <c r="L558" s="369"/>
    </row>
    <row r="559" spans="1:12" s="14" customFormat="1" ht="19.5" customHeight="1">
      <c r="A559" s="293"/>
      <c r="B559" s="298"/>
      <c r="C559" s="188">
        <v>2019</v>
      </c>
      <c r="D559" s="102">
        <v>0</v>
      </c>
      <c r="E559" s="102">
        <v>0</v>
      </c>
      <c r="F559" s="102"/>
      <c r="G559" s="102"/>
      <c r="H559" s="102">
        <v>0</v>
      </c>
      <c r="I559" s="102">
        <v>0</v>
      </c>
      <c r="J559" s="36"/>
      <c r="K559" s="169"/>
      <c r="L559" s="369"/>
    </row>
    <row r="560" spans="1:12" s="14" customFormat="1" ht="19.5" customHeight="1">
      <c r="A560" s="293"/>
      <c r="B560" s="298"/>
      <c r="C560" s="188">
        <v>2020</v>
      </c>
      <c r="D560" s="102">
        <f>I560</f>
        <v>1398.7672</v>
      </c>
      <c r="E560" s="102">
        <v>0</v>
      </c>
      <c r="F560" s="102"/>
      <c r="G560" s="102"/>
      <c r="H560" s="102">
        <v>0</v>
      </c>
      <c r="I560" s="102">
        <f>1214.677+200.353-16.2628</f>
        <v>1398.7672</v>
      </c>
      <c r="J560" s="36"/>
      <c r="K560" s="169" t="s">
        <v>340</v>
      </c>
      <c r="L560" s="369"/>
    </row>
    <row r="561" spans="1:12" s="14" customFormat="1" ht="19.5" customHeight="1">
      <c r="A561" s="293"/>
      <c r="B561" s="298"/>
      <c r="C561" s="188">
        <v>2021</v>
      </c>
      <c r="D561" s="102">
        <v>0</v>
      </c>
      <c r="E561" s="102">
        <v>0</v>
      </c>
      <c r="F561" s="102"/>
      <c r="G561" s="102"/>
      <c r="H561" s="102">
        <v>0</v>
      </c>
      <c r="I561" s="102">
        <v>0</v>
      </c>
      <c r="J561" s="36"/>
      <c r="K561" s="169"/>
      <c r="L561" s="369"/>
    </row>
    <row r="562" spans="1:12" s="14" customFormat="1" ht="19.5" customHeight="1">
      <c r="A562" s="293"/>
      <c r="B562" s="298"/>
      <c r="C562" s="188">
        <v>2022</v>
      </c>
      <c r="D562" s="102">
        <v>0</v>
      </c>
      <c r="E562" s="102">
        <v>0</v>
      </c>
      <c r="F562" s="102"/>
      <c r="G562" s="102"/>
      <c r="H562" s="102">
        <v>0</v>
      </c>
      <c r="I562" s="102">
        <v>0</v>
      </c>
      <c r="J562" s="36"/>
      <c r="K562" s="169"/>
      <c r="L562" s="369"/>
    </row>
    <row r="563" spans="1:12" s="14" customFormat="1" ht="19.5" customHeight="1">
      <c r="A563" s="293"/>
      <c r="B563" s="299"/>
      <c r="C563" s="188">
        <v>2023</v>
      </c>
      <c r="D563" s="102">
        <v>0</v>
      </c>
      <c r="E563" s="102">
        <v>0</v>
      </c>
      <c r="F563" s="102"/>
      <c r="G563" s="102"/>
      <c r="H563" s="102">
        <v>0</v>
      </c>
      <c r="I563" s="102">
        <v>0</v>
      </c>
      <c r="J563" s="36"/>
      <c r="K563" s="169"/>
      <c r="L563" s="369"/>
    </row>
    <row r="564" spans="1:12" s="14" customFormat="1" ht="19.5" customHeight="1">
      <c r="A564" s="293" t="s">
        <v>339</v>
      </c>
      <c r="B564" s="292" t="s">
        <v>342</v>
      </c>
      <c r="C564" s="188">
        <v>2017</v>
      </c>
      <c r="D564" s="102">
        <v>0</v>
      </c>
      <c r="E564" s="102">
        <v>0</v>
      </c>
      <c r="F564" s="102"/>
      <c r="G564" s="102"/>
      <c r="H564" s="102">
        <v>0</v>
      </c>
      <c r="I564" s="102">
        <v>0</v>
      </c>
      <c r="J564" s="36"/>
      <c r="K564" s="169"/>
      <c r="L564" s="369"/>
    </row>
    <row r="565" spans="1:12" s="14" customFormat="1" ht="19.5" customHeight="1">
      <c r="A565" s="293"/>
      <c r="B565" s="292"/>
      <c r="C565" s="188">
        <v>2018</v>
      </c>
      <c r="D565" s="102">
        <v>0</v>
      </c>
      <c r="E565" s="102">
        <v>0</v>
      </c>
      <c r="F565" s="102"/>
      <c r="G565" s="102"/>
      <c r="H565" s="102">
        <v>0</v>
      </c>
      <c r="I565" s="102">
        <v>0</v>
      </c>
      <c r="J565" s="36"/>
      <c r="K565" s="169"/>
      <c r="L565" s="369"/>
    </row>
    <row r="566" spans="1:12" s="14" customFormat="1" ht="19.5" customHeight="1">
      <c r="A566" s="293"/>
      <c r="B566" s="292"/>
      <c r="C566" s="188">
        <v>2019</v>
      </c>
      <c r="D566" s="102">
        <v>0</v>
      </c>
      <c r="E566" s="102">
        <v>0</v>
      </c>
      <c r="F566" s="102"/>
      <c r="G566" s="102"/>
      <c r="H566" s="102">
        <v>0</v>
      </c>
      <c r="I566" s="102">
        <v>0</v>
      </c>
      <c r="J566" s="36"/>
      <c r="K566" s="169"/>
      <c r="L566" s="369"/>
    </row>
    <row r="567" spans="1:12" s="14" customFormat="1" ht="19.5" customHeight="1">
      <c r="A567" s="293"/>
      <c r="B567" s="292"/>
      <c r="C567" s="188">
        <v>2020</v>
      </c>
      <c r="D567" s="102">
        <f>I567</f>
        <v>427.256</v>
      </c>
      <c r="E567" s="102">
        <v>0</v>
      </c>
      <c r="F567" s="102"/>
      <c r="G567" s="102"/>
      <c r="H567" s="102">
        <v>0</v>
      </c>
      <c r="I567" s="102">
        <v>427.256</v>
      </c>
      <c r="J567" s="36"/>
      <c r="K567" s="169" t="s">
        <v>345</v>
      </c>
      <c r="L567" s="369"/>
    </row>
    <row r="568" spans="1:12" s="14" customFormat="1" ht="19.5" customHeight="1">
      <c r="A568" s="293"/>
      <c r="B568" s="292"/>
      <c r="C568" s="188">
        <v>2021</v>
      </c>
      <c r="D568" s="102">
        <v>0</v>
      </c>
      <c r="E568" s="102">
        <v>0</v>
      </c>
      <c r="F568" s="102"/>
      <c r="G568" s="102"/>
      <c r="H568" s="102">
        <v>0</v>
      </c>
      <c r="I568" s="102">
        <v>0</v>
      </c>
      <c r="J568" s="36"/>
      <c r="K568" s="169"/>
      <c r="L568" s="369"/>
    </row>
    <row r="569" spans="1:12" s="14" customFormat="1" ht="19.5" customHeight="1">
      <c r="A569" s="293"/>
      <c r="B569" s="292"/>
      <c r="C569" s="188">
        <v>2022</v>
      </c>
      <c r="D569" s="102">
        <v>0</v>
      </c>
      <c r="E569" s="102">
        <v>0</v>
      </c>
      <c r="F569" s="102"/>
      <c r="G569" s="102"/>
      <c r="H569" s="102">
        <v>0</v>
      </c>
      <c r="I569" s="102">
        <v>0</v>
      </c>
      <c r="J569" s="36"/>
      <c r="K569" s="169"/>
      <c r="L569" s="369"/>
    </row>
    <row r="570" spans="1:12" s="14" customFormat="1" ht="19.5" customHeight="1">
      <c r="A570" s="293"/>
      <c r="B570" s="292"/>
      <c r="C570" s="188">
        <v>2023</v>
      </c>
      <c r="D570" s="102">
        <v>0</v>
      </c>
      <c r="E570" s="102">
        <v>0</v>
      </c>
      <c r="F570" s="102"/>
      <c r="G570" s="102"/>
      <c r="H570" s="102">
        <v>0</v>
      </c>
      <c r="I570" s="102">
        <v>0</v>
      </c>
      <c r="J570" s="36"/>
      <c r="K570" s="169"/>
      <c r="L570" s="369"/>
    </row>
    <row r="571" spans="1:12" s="14" customFormat="1" ht="19.5" customHeight="1">
      <c r="A571" s="293" t="s">
        <v>341</v>
      </c>
      <c r="B571" s="297" t="s">
        <v>370</v>
      </c>
      <c r="C571" s="188">
        <v>2017</v>
      </c>
      <c r="D571" s="102">
        <v>0</v>
      </c>
      <c r="E571" s="102">
        <v>0</v>
      </c>
      <c r="F571" s="102"/>
      <c r="G571" s="102"/>
      <c r="H571" s="102">
        <v>0</v>
      </c>
      <c r="I571" s="102">
        <v>0</v>
      </c>
      <c r="J571" s="36"/>
      <c r="K571" s="169"/>
      <c r="L571" s="369"/>
    </row>
    <row r="572" spans="1:12" s="14" customFormat="1" ht="19.5" customHeight="1">
      <c r="A572" s="293"/>
      <c r="B572" s="298"/>
      <c r="C572" s="188">
        <v>2018</v>
      </c>
      <c r="D572" s="102">
        <v>0</v>
      </c>
      <c r="E572" s="102">
        <v>0</v>
      </c>
      <c r="F572" s="102"/>
      <c r="G572" s="102"/>
      <c r="H572" s="102">
        <v>0</v>
      </c>
      <c r="I572" s="102">
        <v>0</v>
      </c>
      <c r="J572" s="36"/>
      <c r="K572" s="169"/>
      <c r="L572" s="369"/>
    </row>
    <row r="573" spans="1:12" s="14" customFormat="1" ht="19.5" customHeight="1">
      <c r="A573" s="293"/>
      <c r="B573" s="298"/>
      <c r="C573" s="188">
        <v>2019</v>
      </c>
      <c r="D573" s="102">
        <v>0</v>
      </c>
      <c r="E573" s="102">
        <v>0</v>
      </c>
      <c r="F573" s="102"/>
      <c r="G573" s="102"/>
      <c r="H573" s="102">
        <v>0</v>
      </c>
      <c r="I573" s="102">
        <v>0</v>
      </c>
      <c r="J573" s="36"/>
      <c r="K573" s="169"/>
      <c r="L573" s="369"/>
    </row>
    <row r="574" spans="1:12" s="14" customFormat="1" ht="19.5" customHeight="1">
      <c r="A574" s="293"/>
      <c r="B574" s="298"/>
      <c r="C574" s="188">
        <v>2020</v>
      </c>
      <c r="D574" s="102">
        <f>I574</f>
        <v>664.25376</v>
      </c>
      <c r="E574" s="102">
        <v>0</v>
      </c>
      <c r="F574" s="102"/>
      <c r="G574" s="102"/>
      <c r="H574" s="102">
        <v>0</v>
      </c>
      <c r="I574" s="102">
        <f>664.25376</f>
        <v>664.25376</v>
      </c>
      <c r="J574" s="36"/>
      <c r="K574" s="169" t="s">
        <v>345</v>
      </c>
      <c r="L574" s="369"/>
    </row>
    <row r="575" spans="1:12" s="14" customFormat="1" ht="19.5" customHeight="1">
      <c r="A575" s="293"/>
      <c r="B575" s="298"/>
      <c r="C575" s="188">
        <v>2021</v>
      </c>
      <c r="D575" s="102">
        <v>0</v>
      </c>
      <c r="E575" s="102">
        <v>0</v>
      </c>
      <c r="F575" s="102"/>
      <c r="G575" s="102"/>
      <c r="H575" s="102">
        <v>0</v>
      </c>
      <c r="I575" s="102">
        <v>0</v>
      </c>
      <c r="J575" s="36"/>
      <c r="K575" s="169"/>
      <c r="L575" s="369"/>
    </row>
    <row r="576" spans="1:12" s="14" customFormat="1" ht="19.5" customHeight="1">
      <c r="A576" s="293"/>
      <c r="B576" s="298"/>
      <c r="C576" s="188">
        <v>2022</v>
      </c>
      <c r="D576" s="102">
        <v>0</v>
      </c>
      <c r="E576" s="102">
        <v>0</v>
      </c>
      <c r="F576" s="102"/>
      <c r="G576" s="102"/>
      <c r="H576" s="102">
        <v>0</v>
      </c>
      <c r="I576" s="102">
        <v>0</v>
      </c>
      <c r="J576" s="36"/>
      <c r="K576" s="169"/>
      <c r="L576" s="369"/>
    </row>
    <row r="577" spans="1:12" s="14" customFormat="1" ht="19.5" customHeight="1">
      <c r="A577" s="293"/>
      <c r="B577" s="299"/>
      <c r="C577" s="188">
        <v>2023</v>
      </c>
      <c r="D577" s="102">
        <v>0</v>
      </c>
      <c r="E577" s="102">
        <v>0</v>
      </c>
      <c r="F577" s="102"/>
      <c r="G577" s="102"/>
      <c r="H577" s="102">
        <v>0</v>
      </c>
      <c r="I577" s="102">
        <v>0</v>
      </c>
      <c r="J577" s="36"/>
      <c r="K577" s="169"/>
      <c r="L577" s="369"/>
    </row>
    <row r="578" spans="1:12" s="14" customFormat="1" ht="19.5" customHeight="1">
      <c r="A578" s="294" t="s">
        <v>361</v>
      </c>
      <c r="B578" s="300" t="s">
        <v>362</v>
      </c>
      <c r="C578" s="188">
        <v>2017</v>
      </c>
      <c r="D578" s="102">
        <v>0</v>
      </c>
      <c r="E578" s="102">
        <v>0</v>
      </c>
      <c r="F578" s="102"/>
      <c r="G578" s="102"/>
      <c r="H578" s="102">
        <v>0</v>
      </c>
      <c r="I578" s="102">
        <v>0</v>
      </c>
      <c r="J578" s="36"/>
      <c r="K578" s="169"/>
      <c r="L578" s="369"/>
    </row>
    <row r="579" spans="1:12" s="14" customFormat="1" ht="19.5" customHeight="1">
      <c r="A579" s="295"/>
      <c r="B579" s="301"/>
      <c r="C579" s="188">
        <v>2018</v>
      </c>
      <c r="D579" s="102">
        <v>0</v>
      </c>
      <c r="E579" s="102">
        <v>0</v>
      </c>
      <c r="F579" s="102"/>
      <c r="G579" s="102"/>
      <c r="H579" s="102">
        <v>0</v>
      </c>
      <c r="I579" s="102">
        <v>0</v>
      </c>
      <c r="J579" s="36"/>
      <c r="K579" s="169"/>
      <c r="L579" s="369"/>
    </row>
    <row r="580" spans="1:12" s="14" customFormat="1" ht="19.5" customHeight="1">
      <c r="A580" s="295"/>
      <c r="B580" s="301"/>
      <c r="C580" s="188">
        <v>2019</v>
      </c>
      <c r="D580" s="102">
        <v>0</v>
      </c>
      <c r="E580" s="102">
        <v>0</v>
      </c>
      <c r="F580" s="102"/>
      <c r="G580" s="102"/>
      <c r="H580" s="102">
        <v>0</v>
      </c>
      <c r="I580" s="102">
        <v>0</v>
      </c>
      <c r="J580" s="36"/>
      <c r="K580" s="169"/>
      <c r="L580" s="369"/>
    </row>
    <row r="581" spans="1:12" s="14" customFormat="1" ht="19.5" customHeight="1">
      <c r="A581" s="295"/>
      <c r="B581" s="301"/>
      <c r="C581" s="188">
        <v>2020</v>
      </c>
      <c r="D581" s="102">
        <f>I581</f>
        <v>0</v>
      </c>
      <c r="E581" s="102">
        <v>0</v>
      </c>
      <c r="F581" s="102"/>
      <c r="G581" s="102"/>
      <c r="H581" s="102">
        <v>0</v>
      </c>
      <c r="I581" s="102">
        <v>0</v>
      </c>
      <c r="J581" s="36"/>
      <c r="K581" s="169" t="s">
        <v>54</v>
      </c>
      <c r="L581" s="369"/>
    </row>
    <row r="582" spans="1:12" s="14" customFormat="1" ht="19.5" customHeight="1">
      <c r="A582" s="295"/>
      <c r="B582" s="301"/>
      <c r="C582" s="188">
        <v>2021</v>
      </c>
      <c r="D582" s="102">
        <v>0</v>
      </c>
      <c r="E582" s="102">
        <v>0</v>
      </c>
      <c r="F582" s="102"/>
      <c r="G582" s="102"/>
      <c r="H582" s="102">
        <v>0</v>
      </c>
      <c r="I582" s="102">
        <v>0</v>
      </c>
      <c r="J582" s="36"/>
      <c r="K582" s="169"/>
      <c r="L582" s="369"/>
    </row>
    <row r="583" spans="1:12" s="14" customFormat="1" ht="19.5" customHeight="1">
      <c r="A583" s="296"/>
      <c r="B583" s="302"/>
      <c r="C583" s="188">
        <v>2022</v>
      </c>
      <c r="D583" s="102">
        <v>0</v>
      </c>
      <c r="E583" s="102">
        <v>0</v>
      </c>
      <c r="F583" s="102"/>
      <c r="G583" s="102"/>
      <c r="H583" s="102">
        <v>0</v>
      </c>
      <c r="I583" s="102">
        <v>0</v>
      </c>
      <c r="J583" s="36"/>
      <c r="K583" s="169"/>
      <c r="L583" s="369"/>
    </row>
    <row r="584" spans="1:12" s="14" customFormat="1" ht="19.5" customHeight="1">
      <c r="A584" s="294" t="s">
        <v>361</v>
      </c>
      <c r="B584" s="297" t="s">
        <v>367</v>
      </c>
      <c r="C584" s="188">
        <v>2017</v>
      </c>
      <c r="D584" s="102">
        <v>0</v>
      </c>
      <c r="E584" s="102">
        <v>0</v>
      </c>
      <c r="F584" s="102"/>
      <c r="G584" s="102"/>
      <c r="H584" s="102">
        <v>0</v>
      </c>
      <c r="I584" s="102">
        <v>0</v>
      </c>
      <c r="J584" s="36"/>
      <c r="K584" s="169"/>
      <c r="L584" s="369"/>
    </row>
    <row r="585" spans="1:12" s="14" customFormat="1" ht="19.5" customHeight="1">
      <c r="A585" s="295"/>
      <c r="B585" s="298"/>
      <c r="C585" s="188">
        <v>2018</v>
      </c>
      <c r="D585" s="102">
        <v>0</v>
      </c>
      <c r="E585" s="102">
        <v>0</v>
      </c>
      <c r="F585" s="102"/>
      <c r="G585" s="102"/>
      <c r="H585" s="102">
        <v>0</v>
      </c>
      <c r="I585" s="102">
        <v>0</v>
      </c>
      <c r="J585" s="36"/>
      <c r="K585" s="169"/>
      <c r="L585" s="369"/>
    </row>
    <row r="586" spans="1:12" s="14" customFormat="1" ht="19.5" customHeight="1">
      <c r="A586" s="295"/>
      <c r="B586" s="298"/>
      <c r="C586" s="188">
        <v>2019</v>
      </c>
      <c r="D586" s="102">
        <v>0</v>
      </c>
      <c r="E586" s="102">
        <v>0</v>
      </c>
      <c r="F586" s="102"/>
      <c r="G586" s="102"/>
      <c r="H586" s="102">
        <v>0</v>
      </c>
      <c r="I586" s="102">
        <v>0</v>
      </c>
      <c r="J586" s="36"/>
      <c r="K586" s="169"/>
      <c r="L586" s="369"/>
    </row>
    <row r="587" spans="1:12" s="14" customFormat="1" ht="19.5" customHeight="1">
      <c r="A587" s="295"/>
      <c r="B587" s="298"/>
      <c r="C587" s="188">
        <v>2020</v>
      </c>
      <c r="D587" s="102">
        <f>I587+H587</f>
        <v>105.7</v>
      </c>
      <c r="E587" s="102">
        <v>0</v>
      </c>
      <c r="F587" s="102"/>
      <c r="G587" s="102"/>
      <c r="H587" s="102">
        <v>0</v>
      </c>
      <c r="I587" s="102">
        <f>105.7</f>
        <v>105.7</v>
      </c>
      <c r="J587" s="36"/>
      <c r="K587" s="169" t="s">
        <v>49</v>
      </c>
      <c r="L587" s="369"/>
    </row>
    <row r="588" spans="1:12" s="14" customFormat="1" ht="19.5" customHeight="1">
      <c r="A588" s="295"/>
      <c r="B588" s="298"/>
      <c r="C588" s="188">
        <v>2021</v>
      </c>
      <c r="D588" s="102">
        <v>0</v>
      </c>
      <c r="E588" s="102">
        <v>0</v>
      </c>
      <c r="F588" s="102"/>
      <c r="G588" s="102"/>
      <c r="H588" s="102">
        <v>0</v>
      </c>
      <c r="I588" s="102">
        <v>0</v>
      </c>
      <c r="J588" s="36"/>
      <c r="K588" s="169"/>
      <c r="L588" s="369"/>
    </row>
    <row r="589" spans="1:12" s="14" customFormat="1" ht="19.5" customHeight="1">
      <c r="A589" s="295"/>
      <c r="B589" s="298"/>
      <c r="C589" s="188">
        <v>2022</v>
      </c>
      <c r="D589" s="102">
        <v>0</v>
      </c>
      <c r="E589" s="102">
        <v>0</v>
      </c>
      <c r="F589" s="102"/>
      <c r="G589" s="102"/>
      <c r="H589" s="102">
        <v>0</v>
      </c>
      <c r="I589" s="102">
        <v>0</v>
      </c>
      <c r="J589" s="36"/>
      <c r="K589" s="169"/>
      <c r="L589" s="369"/>
    </row>
    <row r="590" spans="1:12" s="14" customFormat="1" ht="19.5" customHeight="1">
      <c r="A590" s="296"/>
      <c r="B590" s="299"/>
      <c r="C590" s="188">
        <v>2023</v>
      </c>
      <c r="D590" s="102">
        <v>0</v>
      </c>
      <c r="E590" s="102">
        <v>0</v>
      </c>
      <c r="F590" s="102"/>
      <c r="G590" s="102"/>
      <c r="H590" s="102">
        <v>0</v>
      </c>
      <c r="I590" s="102">
        <v>0</v>
      </c>
      <c r="J590" s="36"/>
      <c r="K590" s="169"/>
      <c r="L590" s="369"/>
    </row>
    <row r="591" spans="1:12" s="14" customFormat="1" ht="19.5" customHeight="1">
      <c r="A591" s="294" t="s">
        <v>366</v>
      </c>
      <c r="B591" s="297" t="s">
        <v>382</v>
      </c>
      <c r="C591" s="188">
        <v>2017</v>
      </c>
      <c r="D591" s="102">
        <v>0</v>
      </c>
      <c r="E591" s="102">
        <v>0</v>
      </c>
      <c r="F591" s="102"/>
      <c r="G591" s="102"/>
      <c r="H591" s="102">
        <v>0</v>
      </c>
      <c r="I591" s="102">
        <v>0</v>
      </c>
      <c r="J591" s="36"/>
      <c r="K591" s="169"/>
      <c r="L591" s="369"/>
    </row>
    <row r="592" spans="1:12" s="14" customFormat="1" ht="19.5" customHeight="1">
      <c r="A592" s="295"/>
      <c r="B592" s="298"/>
      <c r="C592" s="188">
        <v>2018</v>
      </c>
      <c r="D592" s="102">
        <v>0</v>
      </c>
      <c r="E592" s="102">
        <v>0</v>
      </c>
      <c r="F592" s="102"/>
      <c r="G592" s="102"/>
      <c r="H592" s="102">
        <v>0</v>
      </c>
      <c r="I592" s="102">
        <v>0</v>
      </c>
      <c r="J592" s="36"/>
      <c r="K592" s="169"/>
      <c r="L592" s="369"/>
    </row>
    <row r="593" spans="1:12" s="14" customFormat="1" ht="19.5" customHeight="1">
      <c r="A593" s="295"/>
      <c r="B593" s="298"/>
      <c r="C593" s="188">
        <v>2019</v>
      </c>
      <c r="D593" s="102">
        <v>0</v>
      </c>
      <c r="E593" s="102">
        <v>0</v>
      </c>
      <c r="F593" s="102"/>
      <c r="G593" s="102"/>
      <c r="H593" s="102">
        <v>0</v>
      </c>
      <c r="I593" s="102">
        <v>0</v>
      </c>
      <c r="J593" s="36"/>
      <c r="K593" s="169"/>
      <c r="L593" s="369"/>
    </row>
    <row r="594" spans="1:12" s="14" customFormat="1" ht="19.5" customHeight="1">
      <c r="A594" s="295"/>
      <c r="B594" s="298"/>
      <c r="C594" s="188">
        <v>2020</v>
      </c>
      <c r="D594" s="102">
        <f>I594</f>
        <v>94.589</v>
      </c>
      <c r="E594" s="102">
        <v>0</v>
      </c>
      <c r="F594" s="102"/>
      <c r="G594" s="102"/>
      <c r="H594" s="102">
        <v>0</v>
      </c>
      <c r="I594" s="102">
        <v>94.589</v>
      </c>
      <c r="J594" s="36"/>
      <c r="K594" s="169" t="s">
        <v>54</v>
      </c>
      <c r="L594" s="369"/>
    </row>
    <row r="595" spans="1:12" s="14" customFormat="1" ht="19.5" customHeight="1">
      <c r="A595" s="295"/>
      <c r="B595" s="298"/>
      <c r="C595" s="188">
        <v>2021</v>
      </c>
      <c r="D595" s="102">
        <v>0</v>
      </c>
      <c r="E595" s="102">
        <v>0</v>
      </c>
      <c r="F595" s="102"/>
      <c r="G595" s="102"/>
      <c r="H595" s="102">
        <v>0</v>
      </c>
      <c r="I595" s="102">
        <v>0</v>
      </c>
      <c r="J595" s="36"/>
      <c r="K595" s="169"/>
      <c r="L595" s="369"/>
    </row>
    <row r="596" spans="1:12" s="14" customFormat="1" ht="19.5" customHeight="1">
      <c r="A596" s="295"/>
      <c r="B596" s="298"/>
      <c r="C596" s="188">
        <v>2022</v>
      </c>
      <c r="D596" s="102">
        <v>0</v>
      </c>
      <c r="E596" s="102">
        <v>0</v>
      </c>
      <c r="F596" s="102"/>
      <c r="G596" s="102"/>
      <c r="H596" s="102">
        <v>0</v>
      </c>
      <c r="I596" s="102">
        <v>0</v>
      </c>
      <c r="J596" s="36"/>
      <c r="K596" s="169"/>
      <c r="L596" s="369"/>
    </row>
    <row r="597" spans="1:12" s="14" customFormat="1" ht="19.5" customHeight="1">
      <c r="A597" s="296"/>
      <c r="B597" s="299"/>
      <c r="C597" s="188">
        <v>2023</v>
      </c>
      <c r="D597" s="102">
        <v>0</v>
      </c>
      <c r="E597" s="102">
        <v>0</v>
      </c>
      <c r="F597" s="102"/>
      <c r="G597" s="102"/>
      <c r="H597" s="102">
        <v>0</v>
      </c>
      <c r="I597" s="102">
        <v>0</v>
      </c>
      <c r="J597" s="36"/>
      <c r="K597" s="169"/>
      <c r="L597" s="369"/>
    </row>
    <row r="598" spans="1:12" s="14" customFormat="1" ht="19.5" customHeight="1">
      <c r="A598" s="294" t="s">
        <v>368</v>
      </c>
      <c r="B598" s="300" t="s">
        <v>381</v>
      </c>
      <c r="C598" s="188">
        <v>2017</v>
      </c>
      <c r="D598" s="102">
        <v>0</v>
      </c>
      <c r="E598" s="102">
        <v>0</v>
      </c>
      <c r="F598" s="102"/>
      <c r="G598" s="102"/>
      <c r="H598" s="102">
        <v>0</v>
      </c>
      <c r="I598" s="102">
        <v>0</v>
      </c>
      <c r="J598" s="36"/>
      <c r="K598" s="169"/>
      <c r="L598" s="369"/>
    </row>
    <row r="599" spans="1:12" s="14" customFormat="1" ht="19.5" customHeight="1">
      <c r="A599" s="295"/>
      <c r="B599" s="301"/>
      <c r="C599" s="188">
        <v>2018</v>
      </c>
      <c r="D599" s="102">
        <v>0</v>
      </c>
      <c r="E599" s="102">
        <v>0</v>
      </c>
      <c r="F599" s="102"/>
      <c r="G599" s="102"/>
      <c r="H599" s="102">
        <v>0</v>
      </c>
      <c r="I599" s="102">
        <v>0</v>
      </c>
      <c r="J599" s="36"/>
      <c r="K599" s="169"/>
      <c r="L599" s="369"/>
    </row>
    <row r="600" spans="1:12" s="14" customFormat="1" ht="19.5" customHeight="1">
      <c r="A600" s="295"/>
      <c r="B600" s="301"/>
      <c r="C600" s="188">
        <v>2019</v>
      </c>
      <c r="D600" s="102">
        <v>0</v>
      </c>
      <c r="E600" s="102">
        <v>0</v>
      </c>
      <c r="F600" s="102"/>
      <c r="G600" s="102"/>
      <c r="H600" s="102">
        <v>0</v>
      </c>
      <c r="I600" s="102">
        <v>0</v>
      </c>
      <c r="J600" s="36"/>
      <c r="K600" s="169"/>
      <c r="L600" s="369"/>
    </row>
    <row r="601" spans="1:12" s="14" customFormat="1" ht="19.5" customHeight="1">
      <c r="A601" s="295"/>
      <c r="B601" s="301"/>
      <c r="C601" s="188">
        <v>2020</v>
      </c>
      <c r="D601" s="102">
        <f>I601</f>
        <v>100</v>
      </c>
      <c r="E601" s="102">
        <v>0</v>
      </c>
      <c r="F601" s="102"/>
      <c r="G601" s="102"/>
      <c r="H601" s="102">
        <v>0</v>
      </c>
      <c r="I601" s="102">
        <v>100</v>
      </c>
      <c r="J601" s="36"/>
      <c r="K601" s="169" t="s">
        <v>55</v>
      </c>
      <c r="L601" s="369"/>
    </row>
    <row r="602" spans="1:12" s="14" customFormat="1" ht="19.5" customHeight="1">
      <c r="A602" s="295"/>
      <c r="B602" s="301"/>
      <c r="C602" s="188">
        <v>2021</v>
      </c>
      <c r="D602" s="102">
        <v>0</v>
      </c>
      <c r="E602" s="102">
        <v>0</v>
      </c>
      <c r="F602" s="102"/>
      <c r="G602" s="102"/>
      <c r="H602" s="102">
        <v>0</v>
      </c>
      <c r="I602" s="102">
        <v>0</v>
      </c>
      <c r="J602" s="36"/>
      <c r="K602" s="169"/>
      <c r="L602" s="369"/>
    </row>
    <row r="603" spans="1:12" s="14" customFormat="1" ht="19.5" customHeight="1">
      <c r="A603" s="295"/>
      <c r="B603" s="301"/>
      <c r="C603" s="188">
        <v>2022</v>
      </c>
      <c r="D603" s="102">
        <v>0</v>
      </c>
      <c r="E603" s="102">
        <v>0</v>
      </c>
      <c r="F603" s="102"/>
      <c r="G603" s="102"/>
      <c r="H603" s="102">
        <v>0</v>
      </c>
      <c r="I603" s="102">
        <v>0</v>
      </c>
      <c r="J603" s="36"/>
      <c r="K603" s="169"/>
      <c r="L603" s="369"/>
    </row>
    <row r="604" spans="1:12" s="14" customFormat="1" ht="19.5" customHeight="1">
      <c r="A604" s="296"/>
      <c r="B604" s="302"/>
      <c r="C604" s="188">
        <v>2023</v>
      </c>
      <c r="D604" s="102">
        <v>0</v>
      </c>
      <c r="E604" s="102">
        <v>0</v>
      </c>
      <c r="F604" s="102"/>
      <c r="G604" s="102"/>
      <c r="H604" s="102">
        <v>0</v>
      </c>
      <c r="I604" s="102">
        <v>0</v>
      </c>
      <c r="J604" s="36"/>
      <c r="K604" s="169"/>
      <c r="L604" s="369"/>
    </row>
    <row r="605" spans="1:12" s="14" customFormat="1" ht="19.5" customHeight="1">
      <c r="A605" s="294" t="s">
        <v>383</v>
      </c>
      <c r="B605" s="300" t="s">
        <v>384</v>
      </c>
      <c r="C605" s="188">
        <v>2017</v>
      </c>
      <c r="D605" s="102">
        <v>0</v>
      </c>
      <c r="E605" s="102">
        <v>0</v>
      </c>
      <c r="F605" s="102"/>
      <c r="G605" s="102"/>
      <c r="H605" s="102">
        <v>0</v>
      </c>
      <c r="I605" s="102">
        <v>0</v>
      </c>
      <c r="J605" s="128"/>
      <c r="K605" s="169"/>
      <c r="L605" s="369"/>
    </row>
    <row r="606" spans="1:12" s="14" customFormat="1" ht="19.5" customHeight="1">
      <c r="A606" s="295"/>
      <c r="B606" s="301"/>
      <c r="C606" s="188">
        <v>2018</v>
      </c>
      <c r="D606" s="102">
        <v>0</v>
      </c>
      <c r="E606" s="102">
        <v>0</v>
      </c>
      <c r="F606" s="102"/>
      <c r="G606" s="102"/>
      <c r="H606" s="102">
        <v>0</v>
      </c>
      <c r="I606" s="102">
        <v>0</v>
      </c>
      <c r="J606" s="128"/>
      <c r="K606" s="169"/>
      <c r="L606" s="369"/>
    </row>
    <row r="607" spans="1:12" s="14" customFormat="1" ht="19.5" customHeight="1">
      <c r="A607" s="295"/>
      <c r="B607" s="301"/>
      <c r="C607" s="188">
        <v>2019</v>
      </c>
      <c r="D607" s="102">
        <v>0</v>
      </c>
      <c r="E607" s="102">
        <v>0</v>
      </c>
      <c r="F607" s="102"/>
      <c r="G607" s="102"/>
      <c r="H607" s="102">
        <v>0</v>
      </c>
      <c r="I607" s="102">
        <v>0</v>
      </c>
      <c r="J607" s="128"/>
      <c r="K607" s="169"/>
      <c r="L607" s="369"/>
    </row>
    <row r="608" spans="1:12" s="14" customFormat="1" ht="19.5" customHeight="1">
      <c r="A608" s="295"/>
      <c r="B608" s="301"/>
      <c r="C608" s="188">
        <v>2020</v>
      </c>
      <c r="D608" s="102">
        <f>I608</f>
        <v>14.76</v>
      </c>
      <c r="E608" s="102">
        <v>0</v>
      </c>
      <c r="F608" s="102"/>
      <c r="G608" s="102"/>
      <c r="H608" s="102">
        <v>0</v>
      </c>
      <c r="I608" s="102">
        <v>14.76</v>
      </c>
      <c r="J608" s="128"/>
      <c r="K608" s="169"/>
      <c r="L608" s="369"/>
    </row>
    <row r="609" spans="1:12" s="14" customFormat="1" ht="19.5" customHeight="1">
      <c r="A609" s="295"/>
      <c r="B609" s="301"/>
      <c r="C609" s="188">
        <v>2021</v>
      </c>
      <c r="D609" s="102">
        <v>0</v>
      </c>
      <c r="E609" s="102">
        <v>0</v>
      </c>
      <c r="F609" s="102"/>
      <c r="G609" s="102"/>
      <c r="H609" s="102">
        <v>0</v>
      </c>
      <c r="I609" s="102">
        <v>0</v>
      </c>
      <c r="J609" s="128"/>
      <c r="K609" s="169"/>
      <c r="L609" s="369"/>
    </row>
    <row r="610" spans="1:12" s="14" customFormat="1" ht="19.5" customHeight="1">
      <c r="A610" s="295"/>
      <c r="B610" s="301"/>
      <c r="C610" s="188">
        <v>2022</v>
      </c>
      <c r="D610" s="102">
        <v>0</v>
      </c>
      <c r="E610" s="102">
        <v>0</v>
      </c>
      <c r="F610" s="102"/>
      <c r="G610" s="102"/>
      <c r="H610" s="102">
        <v>0</v>
      </c>
      <c r="I610" s="102">
        <v>0</v>
      </c>
      <c r="J610" s="128"/>
      <c r="K610" s="169"/>
      <c r="L610" s="369"/>
    </row>
    <row r="611" spans="1:12" s="14" customFormat="1" ht="19.5" customHeight="1">
      <c r="A611" s="296"/>
      <c r="B611" s="302"/>
      <c r="C611" s="188">
        <v>2023</v>
      </c>
      <c r="D611" s="102">
        <v>0</v>
      </c>
      <c r="E611" s="102">
        <v>0</v>
      </c>
      <c r="F611" s="102"/>
      <c r="G611" s="102"/>
      <c r="H611" s="102">
        <v>0</v>
      </c>
      <c r="I611" s="102">
        <v>0</v>
      </c>
      <c r="J611" s="128"/>
      <c r="K611" s="169"/>
      <c r="L611" s="369"/>
    </row>
    <row r="612" spans="1:12" s="14" customFormat="1" ht="19.5" customHeight="1">
      <c r="A612" s="294" t="s">
        <v>386</v>
      </c>
      <c r="B612" s="297" t="s">
        <v>387</v>
      </c>
      <c r="C612" s="188">
        <v>2017</v>
      </c>
      <c r="D612" s="102">
        <f>H612+I612+G612</f>
        <v>0</v>
      </c>
      <c r="E612" s="102">
        <v>0</v>
      </c>
      <c r="F612" s="102"/>
      <c r="G612" s="102"/>
      <c r="H612" s="102">
        <v>0</v>
      </c>
      <c r="I612" s="102">
        <v>0</v>
      </c>
      <c r="J612" s="128"/>
      <c r="K612" s="169"/>
      <c r="L612" s="369"/>
    </row>
    <row r="613" spans="1:12" s="14" customFormat="1" ht="19.5" customHeight="1">
      <c r="A613" s="295"/>
      <c r="B613" s="298"/>
      <c r="C613" s="188">
        <v>2018</v>
      </c>
      <c r="D613" s="102">
        <f aca="true" t="shared" si="4" ref="D613:D618">H613+I613+G613</f>
        <v>0</v>
      </c>
      <c r="E613" s="102">
        <v>0</v>
      </c>
      <c r="F613" s="102"/>
      <c r="G613" s="102"/>
      <c r="H613" s="102">
        <v>0</v>
      </c>
      <c r="I613" s="102">
        <v>0</v>
      </c>
      <c r="J613" s="128"/>
      <c r="K613" s="169"/>
      <c r="L613" s="369"/>
    </row>
    <row r="614" spans="1:12" s="14" customFormat="1" ht="19.5" customHeight="1">
      <c r="A614" s="295"/>
      <c r="B614" s="298"/>
      <c r="C614" s="188">
        <v>2019</v>
      </c>
      <c r="D614" s="102">
        <f t="shared" si="4"/>
        <v>0</v>
      </c>
      <c r="E614" s="102">
        <v>0</v>
      </c>
      <c r="F614" s="102"/>
      <c r="G614" s="102"/>
      <c r="H614" s="102">
        <v>0</v>
      </c>
      <c r="I614" s="102">
        <v>0</v>
      </c>
      <c r="J614" s="128"/>
      <c r="K614" s="169"/>
      <c r="L614" s="369"/>
    </row>
    <row r="615" spans="1:12" s="14" customFormat="1" ht="19.5" customHeight="1">
      <c r="A615" s="295"/>
      <c r="B615" s="298"/>
      <c r="C615" s="188">
        <v>2020</v>
      </c>
      <c r="D615" s="102">
        <f t="shared" si="4"/>
        <v>0</v>
      </c>
      <c r="E615" s="102">
        <v>0</v>
      </c>
      <c r="F615" s="102"/>
      <c r="G615" s="102"/>
      <c r="H615" s="102">
        <v>0</v>
      </c>
      <c r="I615" s="102">
        <v>0</v>
      </c>
      <c r="J615" s="128"/>
      <c r="K615" s="169"/>
      <c r="L615" s="369"/>
    </row>
    <row r="616" spans="1:12" s="14" customFormat="1" ht="19.5" customHeight="1">
      <c r="A616" s="295"/>
      <c r="B616" s="298"/>
      <c r="C616" s="188">
        <v>2021</v>
      </c>
      <c r="D616" s="102">
        <f t="shared" si="4"/>
        <v>0</v>
      </c>
      <c r="E616" s="102">
        <v>0</v>
      </c>
      <c r="F616" s="102"/>
      <c r="G616" s="102"/>
      <c r="H616" s="102">
        <v>0</v>
      </c>
      <c r="I616" s="102">
        <v>0</v>
      </c>
      <c r="J616" s="128"/>
      <c r="K616" s="169"/>
      <c r="L616" s="369"/>
    </row>
    <row r="617" spans="1:12" s="14" customFormat="1" ht="19.5" customHeight="1">
      <c r="A617" s="295"/>
      <c r="B617" s="298"/>
      <c r="C617" s="188">
        <v>2022</v>
      </c>
      <c r="D617" s="102">
        <f t="shared" si="4"/>
        <v>0</v>
      </c>
      <c r="E617" s="102">
        <v>0</v>
      </c>
      <c r="F617" s="102"/>
      <c r="G617" s="102">
        <v>0</v>
      </c>
      <c r="H617" s="102">
        <v>0</v>
      </c>
      <c r="I617" s="102">
        <v>0</v>
      </c>
      <c r="J617" s="128"/>
      <c r="K617" s="169"/>
      <c r="L617" s="369"/>
    </row>
    <row r="618" spans="1:12" s="14" customFormat="1" ht="19.5" customHeight="1">
      <c r="A618" s="296"/>
      <c r="B618" s="299"/>
      <c r="C618" s="188">
        <v>2023</v>
      </c>
      <c r="D618" s="102">
        <f t="shared" si="4"/>
        <v>4928.799999999999</v>
      </c>
      <c r="E618" s="102">
        <v>0</v>
      </c>
      <c r="F618" s="102"/>
      <c r="G618" s="102">
        <v>4682.4</v>
      </c>
      <c r="H618" s="102">
        <v>0</v>
      </c>
      <c r="I618" s="102">
        <v>246.4</v>
      </c>
      <c r="J618" s="128"/>
      <c r="K618" s="169" t="s">
        <v>345</v>
      </c>
      <c r="L618" s="369"/>
    </row>
    <row r="619" spans="1:12" s="14" customFormat="1" ht="19.5" customHeight="1">
      <c r="A619" s="392" t="s">
        <v>396</v>
      </c>
      <c r="B619" s="300" t="s">
        <v>397</v>
      </c>
      <c r="C619" s="188">
        <v>2017</v>
      </c>
      <c r="D619" s="102">
        <v>0</v>
      </c>
      <c r="E619" s="102">
        <v>0</v>
      </c>
      <c r="F619" s="102"/>
      <c r="G619" s="102"/>
      <c r="H619" s="243">
        <v>0</v>
      </c>
      <c r="I619" s="102">
        <v>0</v>
      </c>
      <c r="J619" s="128"/>
      <c r="K619" s="169"/>
      <c r="L619" s="369"/>
    </row>
    <row r="620" spans="1:12" s="14" customFormat="1" ht="19.5" customHeight="1">
      <c r="A620" s="393"/>
      <c r="B620" s="301"/>
      <c r="C620" s="188">
        <v>2018</v>
      </c>
      <c r="D620" s="102">
        <v>0</v>
      </c>
      <c r="E620" s="243">
        <v>0</v>
      </c>
      <c r="F620" s="102"/>
      <c r="G620" s="102"/>
      <c r="H620" s="243">
        <v>0</v>
      </c>
      <c r="I620" s="102">
        <v>0</v>
      </c>
      <c r="J620" s="128"/>
      <c r="K620" s="169"/>
      <c r="L620" s="369"/>
    </row>
    <row r="621" spans="1:12" s="14" customFormat="1" ht="19.5" customHeight="1">
      <c r="A621" s="393"/>
      <c r="B621" s="301"/>
      <c r="C621" s="188">
        <v>2019</v>
      </c>
      <c r="D621" s="102">
        <v>0</v>
      </c>
      <c r="E621" s="243">
        <v>0</v>
      </c>
      <c r="F621" s="102"/>
      <c r="G621" s="102"/>
      <c r="H621" s="243">
        <v>0</v>
      </c>
      <c r="I621" s="102">
        <v>0</v>
      </c>
      <c r="J621" s="128"/>
      <c r="K621" s="169"/>
      <c r="L621" s="369"/>
    </row>
    <row r="622" spans="1:12" s="14" customFormat="1" ht="19.5" customHeight="1">
      <c r="A622" s="393"/>
      <c r="B622" s="301"/>
      <c r="C622" s="188">
        <v>2020</v>
      </c>
      <c r="D622" s="102">
        <f>I622</f>
        <v>43.980000000000004</v>
      </c>
      <c r="E622" s="243">
        <v>0</v>
      </c>
      <c r="F622" s="102"/>
      <c r="G622" s="102"/>
      <c r="H622" s="243">
        <v>0</v>
      </c>
      <c r="I622" s="102">
        <f>48.47214-4.49214</f>
        <v>43.980000000000004</v>
      </c>
      <c r="J622" s="128"/>
      <c r="K622" s="169" t="s">
        <v>55</v>
      </c>
      <c r="L622" s="369"/>
    </row>
    <row r="623" spans="1:12" s="14" customFormat="1" ht="19.5" customHeight="1">
      <c r="A623" s="393"/>
      <c r="B623" s="301"/>
      <c r="C623" s="188">
        <v>2021</v>
      </c>
      <c r="D623" s="102">
        <v>0</v>
      </c>
      <c r="E623" s="243">
        <v>0</v>
      </c>
      <c r="F623" s="102"/>
      <c r="G623" s="102"/>
      <c r="H623" s="243">
        <v>0</v>
      </c>
      <c r="I623" s="102">
        <v>0</v>
      </c>
      <c r="J623" s="128"/>
      <c r="K623" s="169"/>
      <c r="L623" s="369"/>
    </row>
    <row r="624" spans="1:12" s="14" customFormat="1" ht="19.5" customHeight="1">
      <c r="A624" s="393"/>
      <c r="B624" s="301"/>
      <c r="C624" s="188">
        <v>2022</v>
      </c>
      <c r="D624" s="102">
        <v>0</v>
      </c>
      <c r="E624" s="243">
        <v>0</v>
      </c>
      <c r="F624" s="102"/>
      <c r="G624" s="102"/>
      <c r="H624" s="243">
        <v>0</v>
      </c>
      <c r="I624" s="102">
        <v>0</v>
      </c>
      <c r="J624" s="128"/>
      <c r="K624" s="169"/>
      <c r="L624" s="369"/>
    </row>
    <row r="625" spans="1:12" s="14" customFormat="1" ht="19.5" customHeight="1">
      <c r="A625" s="394"/>
      <c r="B625" s="302"/>
      <c r="C625" s="188">
        <v>2023</v>
      </c>
      <c r="D625" s="102">
        <v>0</v>
      </c>
      <c r="E625" s="243">
        <v>0</v>
      </c>
      <c r="F625" s="102"/>
      <c r="G625" s="102"/>
      <c r="H625" s="243">
        <v>0</v>
      </c>
      <c r="I625" s="102">
        <v>0</v>
      </c>
      <c r="J625" s="128"/>
      <c r="K625" s="169"/>
      <c r="L625" s="369"/>
    </row>
    <row r="626" spans="1:12" s="14" customFormat="1" ht="19.5" customHeight="1">
      <c r="A626" s="290"/>
      <c r="B626" s="291" t="s">
        <v>164</v>
      </c>
      <c r="C626" s="62">
        <v>2017</v>
      </c>
      <c r="D626" s="168">
        <f>I626+H626+G626+F626+E626</f>
        <v>3287.06155</v>
      </c>
      <c r="E626" s="168"/>
      <c r="F626" s="168"/>
      <c r="G626" s="168"/>
      <c r="H626" s="168"/>
      <c r="I626" s="168">
        <f>I159+I160+I167+I174+I181+I182+I189</f>
        <v>3287.06155</v>
      </c>
      <c r="J626" s="128"/>
      <c r="K626" s="169"/>
      <c r="L626" s="369"/>
    </row>
    <row r="627" spans="1:12" s="14" customFormat="1" ht="19.5" customHeight="1">
      <c r="A627" s="290"/>
      <c r="B627" s="291"/>
      <c r="C627" s="63">
        <v>2018</v>
      </c>
      <c r="D627" s="185">
        <f>E627+H627+I627</f>
        <v>6571.8936699999995</v>
      </c>
      <c r="E627" s="185">
        <f>E67+E76+E88+E95+E101+E102+E103+E156+E197+E206+E211+E218+E225+E149</f>
        <v>0</v>
      </c>
      <c r="F627" s="185">
        <v>0</v>
      </c>
      <c r="G627" s="185">
        <v>0</v>
      </c>
      <c r="H627" s="185">
        <f>H67+H76+H88+H95+H101+H102+H103+H156+H197+H206+H211+H218+H225+H149</f>
        <v>0</v>
      </c>
      <c r="I627" s="185">
        <f>I197+I204+I211+I218+I225+I198+I232+I233+I235+I236+I234+I243+I251+I258+I265+I272+I279+I286++I293+I250+I300</f>
        <v>6571.8936699999995</v>
      </c>
      <c r="J627" s="132"/>
      <c r="K627" s="43"/>
      <c r="L627" s="369"/>
    </row>
    <row r="628" spans="1:12" s="14" customFormat="1" ht="19.5" customHeight="1">
      <c r="A628" s="290"/>
      <c r="B628" s="291"/>
      <c r="C628" s="63">
        <v>2019</v>
      </c>
      <c r="D628" s="185">
        <f>E628+H628+I628</f>
        <v>12119.862239999999</v>
      </c>
      <c r="E628" s="185">
        <f>E74+E81+E89+E96+E104+E150+E157+E199+E204+E212+E219+E226</f>
        <v>0</v>
      </c>
      <c r="F628" s="185">
        <v>0</v>
      </c>
      <c r="G628" s="185">
        <v>0</v>
      </c>
      <c r="H628" s="185">
        <v>0</v>
      </c>
      <c r="I628" s="185">
        <f>I329+I322+I315+I308+I212+I336+I343+I350+I357+I364+I371+I219+I392+I385+I378+I448+I441+I420+I413+I406+I399+I427+I434+I455+I462+I469+I476+I483</f>
        <v>12119.862239999999</v>
      </c>
      <c r="J628" s="132"/>
      <c r="K628" s="43"/>
      <c r="L628" s="369"/>
    </row>
    <row r="629" spans="1:12" s="14" customFormat="1" ht="19.5" customHeight="1">
      <c r="A629" s="290"/>
      <c r="B629" s="291"/>
      <c r="C629" s="63">
        <v>2020</v>
      </c>
      <c r="D629" s="185">
        <f>E629+H629+I629</f>
        <v>6624.8859299999995</v>
      </c>
      <c r="E629" s="185">
        <f>E75+E82+E90+E97+E121+E155+E163+E205+E213+E220+E227</f>
        <v>0</v>
      </c>
      <c r="F629" s="185">
        <v>0</v>
      </c>
      <c r="G629" s="185">
        <v>0</v>
      </c>
      <c r="H629" s="185">
        <f>H75+H82+H90+H97+H121+H155+H163+H205+H213+H220+H227</f>
        <v>0</v>
      </c>
      <c r="I629" s="168">
        <f>I574+I567+I560+I553+I546+I539+I532+I525+I518+I511+I504+I497+I393+I220+I581+I587+I594+I601+I608+I622</f>
        <v>6624.8859299999995</v>
      </c>
      <c r="J629" s="132"/>
      <c r="K629" s="43"/>
      <c r="L629" s="369"/>
    </row>
    <row r="630" spans="1:12" s="14" customFormat="1" ht="19.5" customHeight="1">
      <c r="A630" s="290"/>
      <c r="B630" s="291"/>
      <c r="C630" s="63">
        <v>2021</v>
      </c>
      <c r="D630" s="185">
        <f>I630</f>
        <v>300</v>
      </c>
      <c r="E630" s="185">
        <v>0</v>
      </c>
      <c r="F630" s="185">
        <v>0</v>
      </c>
      <c r="G630" s="185">
        <v>0</v>
      </c>
      <c r="H630" s="185">
        <v>0</v>
      </c>
      <c r="I630" s="185">
        <f>I394</f>
        <v>300</v>
      </c>
      <c r="J630" s="132"/>
      <c r="K630" s="43"/>
      <c r="L630" s="370"/>
    </row>
    <row r="631" spans="1:12" s="14" customFormat="1" ht="19.5" customHeight="1">
      <c r="A631" s="290"/>
      <c r="B631" s="291"/>
      <c r="C631" s="63">
        <v>2022</v>
      </c>
      <c r="D631" s="185">
        <f>I631</f>
        <v>0</v>
      </c>
      <c r="E631" s="185">
        <v>0</v>
      </c>
      <c r="F631" s="185">
        <v>0</v>
      </c>
      <c r="G631" s="185">
        <v>0</v>
      </c>
      <c r="H631" s="185">
        <v>0</v>
      </c>
      <c r="I631" s="185">
        <v>0</v>
      </c>
      <c r="J631" s="132"/>
      <c r="K631" s="43"/>
      <c r="L631" s="44"/>
    </row>
    <row r="632" spans="1:12" s="14" customFormat="1" ht="19.5" customHeight="1">
      <c r="A632" s="290"/>
      <c r="B632" s="291"/>
      <c r="C632" s="63">
        <v>2023</v>
      </c>
      <c r="D632" s="185">
        <f>I632+G632+H632</f>
        <v>4928.799999999999</v>
      </c>
      <c r="E632" s="185">
        <v>0</v>
      </c>
      <c r="F632" s="185">
        <v>0</v>
      </c>
      <c r="G632" s="185">
        <f>G618</f>
        <v>4682.4</v>
      </c>
      <c r="H632" s="185">
        <v>0</v>
      </c>
      <c r="I632" s="185">
        <f>I631+I618</f>
        <v>246.4</v>
      </c>
      <c r="J632" s="129"/>
      <c r="K632" s="130"/>
      <c r="L632" s="131"/>
    </row>
    <row r="633" spans="1:12" ht="19.5" customHeight="1">
      <c r="A633" s="46"/>
      <c r="B633" s="335" t="s">
        <v>188</v>
      </c>
      <c r="C633" s="336"/>
      <c r="D633" s="336"/>
      <c r="E633" s="336"/>
      <c r="F633" s="336"/>
      <c r="G633" s="336"/>
      <c r="H633" s="336"/>
      <c r="I633" s="336"/>
      <c r="J633" s="336"/>
      <c r="K633" s="336"/>
      <c r="L633" s="337"/>
    </row>
    <row r="634" spans="1:12" ht="19.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</row>
    <row r="635" spans="1:13" ht="19.5" customHeight="1">
      <c r="A635" s="86" t="s">
        <v>148</v>
      </c>
      <c r="B635" s="404" t="s">
        <v>37</v>
      </c>
      <c r="C635" s="405"/>
      <c r="D635" s="405"/>
      <c r="E635" s="405"/>
      <c r="F635" s="405"/>
      <c r="G635" s="405"/>
      <c r="H635" s="405"/>
      <c r="I635" s="405"/>
      <c r="J635" s="405"/>
      <c r="K635" s="405"/>
      <c r="L635" s="406"/>
      <c r="M635" t="s">
        <v>37</v>
      </c>
    </row>
    <row r="636" spans="1:12" ht="19.5" customHeight="1">
      <c r="A636" s="325" t="s">
        <v>61</v>
      </c>
      <c r="B636" s="325" t="s">
        <v>52</v>
      </c>
      <c r="C636" s="65">
        <v>2017</v>
      </c>
      <c r="D636" s="181">
        <f>I636</f>
        <v>6500.04975</v>
      </c>
      <c r="E636" s="181">
        <v>0</v>
      </c>
      <c r="F636" s="181"/>
      <c r="G636" s="181"/>
      <c r="H636" s="181">
        <v>0</v>
      </c>
      <c r="I636" s="181">
        <v>6500.04975</v>
      </c>
      <c r="J636" s="46"/>
      <c r="K636" s="313" t="s">
        <v>144</v>
      </c>
      <c r="L636" s="46"/>
    </row>
    <row r="637" spans="1:12" ht="19.5" customHeight="1">
      <c r="A637" s="325"/>
      <c r="B637" s="325"/>
      <c r="C637" s="64">
        <v>2018</v>
      </c>
      <c r="D637" s="181">
        <f>I637</f>
        <v>8299.13376</v>
      </c>
      <c r="E637" s="181">
        <v>0</v>
      </c>
      <c r="F637" s="181"/>
      <c r="G637" s="181"/>
      <c r="H637" s="181">
        <v>0</v>
      </c>
      <c r="I637" s="181">
        <f>6137.149+0.73226+1830.1275+327.1+0.025+4</f>
        <v>8299.13376</v>
      </c>
      <c r="J637" s="42"/>
      <c r="K637" s="314"/>
      <c r="L637" s="46"/>
    </row>
    <row r="638" spans="1:12" ht="19.5" customHeight="1">
      <c r="A638" s="325"/>
      <c r="B638" s="325"/>
      <c r="C638" s="64">
        <v>2019</v>
      </c>
      <c r="D638" s="181">
        <f>E638+H638+I638</f>
        <v>11105.41822</v>
      </c>
      <c r="E638" s="181">
        <v>0</v>
      </c>
      <c r="F638" s="181"/>
      <c r="G638" s="181"/>
      <c r="H638" s="181">
        <v>0</v>
      </c>
      <c r="I638" s="181">
        <f>341.2+2464.84669+0.93166+8298.446-0.00613</f>
        <v>11105.41822</v>
      </c>
      <c r="J638" s="42"/>
      <c r="K638" s="314"/>
      <c r="L638" s="46"/>
    </row>
    <row r="639" spans="1:12" ht="19.5" customHeight="1">
      <c r="A639" s="325"/>
      <c r="B639" s="325"/>
      <c r="C639" s="64">
        <v>2020</v>
      </c>
      <c r="D639" s="181">
        <f>E639+H639+I639</f>
        <v>11736.468110000002</v>
      </c>
      <c r="E639" s="181">
        <v>0</v>
      </c>
      <c r="F639" s="181"/>
      <c r="G639" s="181"/>
      <c r="H639" s="181">
        <v>0</v>
      </c>
      <c r="I639" s="181">
        <f>8727.278+2635.639+419.34-45.78889</f>
        <v>11736.468110000002</v>
      </c>
      <c r="J639" s="42"/>
      <c r="K639" s="314"/>
      <c r="L639" s="46"/>
    </row>
    <row r="640" spans="1:12" ht="19.5" customHeight="1">
      <c r="A640" s="325"/>
      <c r="B640" s="325"/>
      <c r="C640" s="64">
        <v>2021</v>
      </c>
      <c r="D640" s="181">
        <f>I640</f>
        <v>12171.525</v>
      </c>
      <c r="E640" s="181">
        <v>0</v>
      </c>
      <c r="F640" s="181"/>
      <c r="G640" s="181"/>
      <c r="H640" s="181"/>
      <c r="I640" s="181">
        <f>9121.294+2754.631+295.6</f>
        <v>12171.525</v>
      </c>
      <c r="J640" s="42"/>
      <c r="K640" s="315"/>
      <c r="L640" s="46"/>
    </row>
    <row r="641" spans="1:12" ht="19.5" customHeight="1">
      <c r="A641" s="325"/>
      <c r="B641" s="325"/>
      <c r="C641" s="64">
        <v>2022</v>
      </c>
      <c r="D641" s="181">
        <f>I641</f>
        <v>11948.925</v>
      </c>
      <c r="E641" s="181"/>
      <c r="F641" s="181"/>
      <c r="G641" s="181"/>
      <c r="H641" s="181"/>
      <c r="I641" s="181">
        <f>73+2754.631+9121.294</f>
        <v>11948.925</v>
      </c>
      <c r="J641" s="42"/>
      <c r="K641" s="180"/>
      <c r="L641" s="46"/>
    </row>
    <row r="642" spans="1:12" ht="19.5" customHeight="1">
      <c r="A642" s="325"/>
      <c r="B642" s="325"/>
      <c r="C642" s="64">
        <v>2023</v>
      </c>
      <c r="D642" s="181">
        <f>I642</f>
        <v>11948.925</v>
      </c>
      <c r="E642" s="181"/>
      <c r="F642" s="181"/>
      <c r="G642" s="181"/>
      <c r="H642" s="181"/>
      <c r="I642" s="181">
        <f>9121.294+2754.631+73</f>
        <v>11948.925</v>
      </c>
      <c r="J642" s="42"/>
      <c r="K642" s="181"/>
      <c r="L642" s="46"/>
    </row>
    <row r="643" spans="1:12" ht="19.5" customHeight="1">
      <c r="A643" s="371" t="s">
        <v>125</v>
      </c>
      <c r="B643" s="401" t="s">
        <v>317</v>
      </c>
      <c r="C643" s="64">
        <v>2017</v>
      </c>
      <c r="D643" s="102">
        <v>0</v>
      </c>
      <c r="E643" s="102">
        <v>0</v>
      </c>
      <c r="F643" s="102"/>
      <c r="G643" s="102"/>
      <c r="H643" s="102">
        <v>0</v>
      </c>
      <c r="I643" s="102">
        <v>0</v>
      </c>
      <c r="J643" s="42"/>
      <c r="K643" s="181"/>
      <c r="L643" s="46"/>
    </row>
    <row r="644" spans="1:12" ht="19.5" customHeight="1">
      <c r="A644" s="372"/>
      <c r="B644" s="402"/>
      <c r="C644" s="64">
        <v>2018</v>
      </c>
      <c r="D644" s="102">
        <v>0</v>
      </c>
      <c r="E644" s="102">
        <v>0</v>
      </c>
      <c r="F644" s="102"/>
      <c r="G644" s="102"/>
      <c r="H644" s="102">
        <v>0</v>
      </c>
      <c r="I644" s="102">
        <v>0</v>
      </c>
      <c r="J644" s="42"/>
      <c r="K644" s="181"/>
      <c r="L644" s="46"/>
    </row>
    <row r="645" spans="1:12" ht="19.5" customHeight="1">
      <c r="A645" s="372"/>
      <c r="B645" s="402"/>
      <c r="C645" s="64">
        <v>2019</v>
      </c>
      <c r="D645" s="102">
        <v>0</v>
      </c>
      <c r="E645" s="102">
        <v>0</v>
      </c>
      <c r="F645" s="102"/>
      <c r="G645" s="102"/>
      <c r="H645" s="102">
        <v>0</v>
      </c>
      <c r="I645" s="102">
        <v>0</v>
      </c>
      <c r="J645" s="42"/>
      <c r="K645" s="181"/>
      <c r="L645" s="46"/>
    </row>
    <row r="646" spans="1:12" ht="19.5" customHeight="1">
      <c r="A646" s="372"/>
      <c r="B646" s="402"/>
      <c r="C646" s="64">
        <v>2020</v>
      </c>
      <c r="D646" s="102">
        <v>0</v>
      </c>
      <c r="E646" s="102">
        <v>0</v>
      </c>
      <c r="F646" s="102"/>
      <c r="G646" s="102"/>
      <c r="H646" s="102">
        <v>0</v>
      </c>
      <c r="I646" s="102">
        <v>0</v>
      </c>
      <c r="J646" s="42"/>
      <c r="K646" s="181"/>
      <c r="L646" s="46"/>
    </row>
    <row r="647" spans="1:12" ht="19.5" customHeight="1">
      <c r="A647" s="372"/>
      <c r="B647" s="402"/>
      <c r="C647" s="64">
        <v>2021</v>
      </c>
      <c r="D647" s="102">
        <v>0</v>
      </c>
      <c r="E647" s="102">
        <v>0</v>
      </c>
      <c r="F647" s="102"/>
      <c r="G647" s="102"/>
      <c r="H647" s="102">
        <v>0</v>
      </c>
      <c r="I647" s="102">
        <v>0</v>
      </c>
      <c r="J647" s="42"/>
      <c r="K647" s="181"/>
      <c r="L647" s="46"/>
    </row>
    <row r="648" spans="1:12" ht="19.5" customHeight="1">
      <c r="A648" s="372"/>
      <c r="B648" s="402"/>
      <c r="C648" s="64">
        <v>2022</v>
      </c>
      <c r="D648" s="102">
        <f>H648+G648</f>
        <v>0</v>
      </c>
      <c r="E648" s="102">
        <v>0</v>
      </c>
      <c r="F648" s="102"/>
      <c r="G648" s="102">
        <v>0</v>
      </c>
      <c r="H648" s="102">
        <v>0</v>
      </c>
      <c r="I648" s="102">
        <v>0</v>
      </c>
      <c r="J648" s="42"/>
      <c r="K648" s="181"/>
      <c r="L648" s="46"/>
    </row>
    <row r="649" spans="1:12" ht="19.5" customHeight="1">
      <c r="A649" s="373"/>
      <c r="B649" s="403"/>
      <c r="C649" s="64">
        <v>2023</v>
      </c>
      <c r="D649" s="102">
        <v>0</v>
      </c>
      <c r="E649" s="102">
        <v>0</v>
      </c>
      <c r="F649" s="102"/>
      <c r="G649" s="102"/>
      <c r="H649" s="102">
        <v>0</v>
      </c>
      <c r="I649" s="102">
        <v>0</v>
      </c>
      <c r="J649" s="42"/>
      <c r="K649" s="181"/>
      <c r="L649" s="46"/>
    </row>
    <row r="650" spans="1:12" ht="19.5" customHeight="1">
      <c r="A650" s="329" t="s">
        <v>164</v>
      </c>
      <c r="B650" s="330"/>
      <c r="C650" s="63">
        <v>2017</v>
      </c>
      <c r="D650" s="185">
        <f>I650</f>
        <v>6500.04975</v>
      </c>
      <c r="E650" s="185">
        <v>0</v>
      </c>
      <c r="F650" s="185"/>
      <c r="G650" s="185"/>
      <c r="H650" s="185">
        <v>0</v>
      </c>
      <c r="I650" s="185">
        <f>I636</f>
        <v>6500.04975</v>
      </c>
      <c r="J650" s="42"/>
      <c r="K650" s="181"/>
      <c r="L650" s="46"/>
    </row>
    <row r="651" spans="1:12" ht="19.5" customHeight="1">
      <c r="A651" s="331"/>
      <c r="B651" s="332"/>
      <c r="C651" s="63">
        <v>2018</v>
      </c>
      <c r="D651" s="185">
        <f>E651+H651+I651</f>
        <v>8299.13376</v>
      </c>
      <c r="E651" s="185">
        <f>E95+E101+E106+E121+E149+E150+E197+E199+E204+E211+E213+E220+E227+E627+E628+E633+E637</f>
        <v>0</v>
      </c>
      <c r="F651" s="185"/>
      <c r="G651" s="185"/>
      <c r="H651" s="185">
        <f>H95+H101+H106+H121+H149+H150+H197+H199+H204+H211+H213+H220+H227+H627+H628+H633+H637</f>
        <v>0</v>
      </c>
      <c r="I651" s="185">
        <f>I637</f>
        <v>8299.13376</v>
      </c>
      <c r="J651" s="42"/>
      <c r="K651" s="43"/>
      <c r="L651" s="46"/>
    </row>
    <row r="652" spans="1:12" ht="19.5" customHeight="1">
      <c r="A652" s="331"/>
      <c r="B652" s="332"/>
      <c r="C652" s="63">
        <v>2019</v>
      </c>
      <c r="D652" s="185">
        <f>E652+H652+I652</f>
        <v>11105.41822</v>
      </c>
      <c r="E652" s="185">
        <f>E96+E102+E111+E151+E205+E218+E225+E629+E634+E638</f>
        <v>0</v>
      </c>
      <c r="F652" s="185"/>
      <c r="G652" s="185"/>
      <c r="H652" s="185">
        <f>H96+H102+H111+H151+H205+H218+H225+H629+H634+H638</f>
        <v>0</v>
      </c>
      <c r="I652" s="185">
        <f>I638</f>
        <v>11105.41822</v>
      </c>
      <c r="J652" s="42"/>
      <c r="K652" s="43"/>
      <c r="L652" s="44"/>
    </row>
    <row r="653" spans="1:12" ht="19.5" customHeight="1">
      <c r="A653" s="331"/>
      <c r="B653" s="332"/>
      <c r="C653" s="63">
        <v>2020</v>
      </c>
      <c r="D653" s="185">
        <f>E653+H653+I653</f>
        <v>11736.468110000002</v>
      </c>
      <c r="E653" s="185">
        <f>E97+E103+E112+E163+E206+E212+E219+E226+E630+E635+E639</f>
        <v>0</v>
      </c>
      <c r="F653" s="185"/>
      <c r="G653" s="185"/>
      <c r="H653" s="185">
        <f>H97+H103+H112+H163+H206+H212+H219+H226+H630+H635+H639</f>
        <v>0</v>
      </c>
      <c r="I653" s="185">
        <f>I639</f>
        <v>11736.468110000002</v>
      </c>
      <c r="J653" s="42"/>
      <c r="K653" s="43"/>
      <c r="L653" s="44"/>
    </row>
    <row r="654" spans="1:12" ht="19.5" customHeight="1">
      <c r="A654" s="331"/>
      <c r="B654" s="332"/>
      <c r="C654" s="153">
        <v>2021</v>
      </c>
      <c r="D654" s="89">
        <f>I654</f>
        <v>12171.525</v>
      </c>
      <c r="E654" s="89">
        <v>0</v>
      </c>
      <c r="F654" s="89"/>
      <c r="G654" s="89"/>
      <c r="H654" s="89">
        <v>0</v>
      </c>
      <c r="I654" s="89">
        <f>I640</f>
        <v>12171.525</v>
      </c>
      <c r="J654" s="89"/>
      <c r="K654" s="89"/>
      <c r="L654" s="44"/>
    </row>
    <row r="655" spans="1:12" ht="19.5" customHeight="1">
      <c r="A655" s="331"/>
      <c r="B655" s="332"/>
      <c r="C655" s="153">
        <v>2022</v>
      </c>
      <c r="D655" s="89">
        <f>I655+H655+G655</f>
        <v>11948.925</v>
      </c>
      <c r="E655" s="89"/>
      <c r="F655" s="89"/>
      <c r="G655" s="89">
        <f>G648</f>
        <v>0</v>
      </c>
      <c r="H655" s="89">
        <f>H648</f>
        <v>0</v>
      </c>
      <c r="I655" s="89">
        <f>I642</f>
        <v>11948.925</v>
      </c>
      <c r="J655" s="89"/>
      <c r="K655" s="89"/>
      <c r="L655" s="44"/>
    </row>
    <row r="656" spans="1:12" ht="19.5" customHeight="1">
      <c r="A656" s="333"/>
      <c r="B656" s="334"/>
      <c r="C656" s="153">
        <v>2023</v>
      </c>
      <c r="D656" s="89">
        <f>G656+H656+I656</f>
        <v>11948.925</v>
      </c>
      <c r="E656" s="89"/>
      <c r="F656" s="89"/>
      <c r="G656" s="89"/>
      <c r="H656" s="89"/>
      <c r="I656" s="89">
        <f>I642</f>
        <v>11948.925</v>
      </c>
      <c r="J656" s="89"/>
      <c r="K656" s="182"/>
      <c r="L656" s="44"/>
    </row>
    <row r="657" spans="1:12" ht="19.5" customHeight="1">
      <c r="A657" s="395" t="s">
        <v>95</v>
      </c>
      <c r="B657" s="396"/>
      <c r="C657" s="396"/>
      <c r="D657" s="396"/>
      <c r="E657" s="396"/>
      <c r="F657" s="396"/>
      <c r="G657" s="396"/>
      <c r="H657" s="396"/>
      <c r="I657" s="396"/>
      <c r="J657" s="396"/>
      <c r="K657" s="397"/>
      <c r="L657" s="89"/>
    </row>
    <row r="658" spans="1:12" ht="19.5" customHeight="1">
      <c r="A658" s="46" t="s">
        <v>189</v>
      </c>
      <c r="B658" s="335" t="s">
        <v>190</v>
      </c>
      <c r="C658" s="336"/>
      <c r="D658" s="336"/>
      <c r="E658" s="336"/>
      <c r="F658" s="336"/>
      <c r="G658" s="336"/>
      <c r="H658" s="336"/>
      <c r="I658" s="336"/>
      <c r="J658" s="336"/>
      <c r="K658" s="336"/>
      <c r="L658" s="337"/>
    </row>
    <row r="659" spans="1:12" ht="19.5" customHeight="1">
      <c r="A659" s="313" t="s">
        <v>62</v>
      </c>
      <c r="B659" s="313" t="s">
        <v>272</v>
      </c>
      <c r="C659" s="64">
        <v>2017</v>
      </c>
      <c r="D659" s="181">
        <f>H659+I659</f>
        <v>11181.419240000001</v>
      </c>
      <c r="E659" s="181">
        <v>0</v>
      </c>
      <c r="F659" s="181">
        <f aca="true" t="shared" si="5" ref="F659:F683">G659+H659</f>
        <v>2270.1</v>
      </c>
      <c r="G659" s="181"/>
      <c r="H659" s="102">
        <v>2270.1</v>
      </c>
      <c r="I659" s="102">
        <v>8911.31924</v>
      </c>
      <c r="J659" s="46">
        <v>0</v>
      </c>
      <c r="K659" s="319" t="s">
        <v>151</v>
      </c>
      <c r="L659" s="313" t="s">
        <v>296</v>
      </c>
    </row>
    <row r="660" spans="1:12" ht="19.5" customHeight="1">
      <c r="A660" s="314"/>
      <c r="B660" s="314"/>
      <c r="C660" s="64">
        <v>2018</v>
      </c>
      <c r="D660" s="181">
        <f>E660+H660+I660+J660</f>
        <v>12687.26973</v>
      </c>
      <c r="E660" s="181">
        <v>0</v>
      </c>
      <c r="F660" s="181">
        <f t="shared" si="5"/>
        <v>2741.4</v>
      </c>
      <c r="G660" s="181"/>
      <c r="H660" s="102">
        <f>2741.4</f>
        <v>2741.4</v>
      </c>
      <c r="I660" s="102">
        <f>6281.07244+2581.18215</f>
        <v>8862.25459</v>
      </c>
      <c r="J660" s="47">
        <v>1083.61514</v>
      </c>
      <c r="K660" s="320"/>
      <c r="L660" s="314"/>
    </row>
    <row r="661" spans="1:12" ht="19.5" customHeight="1">
      <c r="A661" s="314"/>
      <c r="B661" s="314"/>
      <c r="C661" s="65">
        <v>2019</v>
      </c>
      <c r="D661" s="45">
        <f>F661+I661+J661</f>
        <v>12327.13844</v>
      </c>
      <c r="E661" s="45">
        <v>0</v>
      </c>
      <c r="F661" s="45">
        <f t="shared" si="5"/>
        <v>3472.5</v>
      </c>
      <c r="G661" s="45"/>
      <c r="H661" s="173">
        <v>3472.5</v>
      </c>
      <c r="I661" s="173">
        <f>4657.67224+3147.28476</f>
        <v>7804.957</v>
      </c>
      <c r="J661" s="49">
        <v>1049.68144</v>
      </c>
      <c r="K661" s="320"/>
      <c r="L661" s="314"/>
    </row>
    <row r="662" spans="1:13" ht="19.5" customHeight="1">
      <c r="A662" s="314"/>
      <c r="B662" s="314"/>
      <c r="C662" s="64">
        <v>2020</v>
      </c>
      <c r="D662" s="181">
        <f>H662+I662+J662</f>
        <v>13866.77325</v>
      </c>
      <c r="E662" s="181">
        <v>0</v>
      </c>
      <c r="F662" s="181">
        <f t="shared" si="5"/>
        <v>3616.709</v>
      </c>
      <c r="G662" s="181"/>
      <c r="H662" s="102">
        <v>3616.709</v>
      </c>
      <c r="I662" s="102">
        <f>6578.836+3098.76</f>
        <v>9677.596000000001</v>
      </c>
      <c r="J662" s="47">
        <f>472.46825+100</f>
        <v>572.46825</v>
      </c>
      <c r="K662" s="320"/>
      <c r="L662" s="314"/>
      <c r="M662" t="s">
        <v>37</v>
      </c>
    </row>
    <row r="663" spans="1:12" ht="19.5" customHeight="1">
      <c r="A663" s="314"/>
      <c r="B663" s="314"/>
      <c r="C663" s="64">
        <v>2021</v>
      </c>
      <c r="D663" s="181">
        <f>I663+H663+J663</f>
        <v>13006.917</v>
      </c>
      <c r="E663" s="181">
        <v>0</v>
      </c>
      <c r="F663" s="181">
        <f>H663</f>
        <v>3486.509</v>
      </c>
      <c r="G663" s="181"/>
      <c r="H663" s="102">
        <v>3486.509</v>
      </c>
      <c r="I663" s="102">
        <f>3160.735+4177.513+1432.16</f>
        <v>8770.408</v>
      </c>
      <c r="J663" s="47">
        <v>750</v>
      </c>
      <c r="K663" s="320"/>
      <c r="L663" s="314"/>
    </row>
    <row r="664" spans="1:12" ht="19.5" customHeight="1">
      <c r="A664" s="314"/>
      <c r="B664" s="314"/>
      <c r="C664" s="64">
        <v>2022</v>
      </c>
      <c r="D664" s="181">
        <f>F664+I664+J664</f>
        <v>12691.716999999999</v>
      </c>
      <c r="E664" s="181"/>
      <c r="F664" s="181">
        <f>H664</f>
        <v>3486.509</v>
      </c>
      <c r="G664" s="181"/>
      <c r="H664" s="102">
        <v>3486.509</v>
      </c>
      <c r="I664" s="102">
        <f>3160.735+4177.513+1116.96</f>
        <v>8455.207999999999</v>
      </c>
      <c r="J664" s="47">
        <v>750</v>
      </c>
      <c r="K664" s="320"/>
      <c r="L664" s="314"/>
    </row>
    <row r="665" spans="1:12" ht="19.5" customHeight="1">
      <c r="A665" s="315"/>
      <c r="B665" s="315"/>
      <c r="C665" s="64">
        <v>2023</v>
      </c>
      <c r="D665" s="181">
        <f>I665+H665+J665</f>
        <v>12656.716999999999</v>
      </c>
      <c r="E665" s="181">
        <v>0</v>
      </c>
      <c r="F665" s="181">
        <f>H665</f>
        <v>3486.509</v>
      </c>
      <c r="G665" s="181"/>
      <c r="H665" s="102">
        <v>3486.509</v>
      </c>
      <c r="I665" s="102">
        <f>3160.735+4177.513+1081.96</f>
        <v>8420.207999999999</v>
      </c>
      <c r="J665" s="47">
        <v>750</v>
      </c>
      <c r="K665" s="321"/>
      <c r="L665" s="314"/>
    </row>
    <row r="666" spans="1:12" ht="19.5" customHeight="1">
      <c r="A666" s="313" t="s">
        <v>65</v>
      </c>
      <c r="B666" s="313" t="s">
        <v>273</v>
      </c>
      <c r="C666" s="64">
        <v>2017</v>
      </c>
      <c r="D666" s="181">
        <f>H666+I666+J666</f>
        <v>19392.76832</v>
      </c>
      <c r="E666" s="181">
        <v>0</v>
      </c>
      <c r="F666" s="181">
        <f t="shared" si="5"/>
        <v>176</v>
      </c>
      <c r="G666" s="181"/>
      <c r="H666" s="102">
        <v>176</v>
      </c>
      <c r="I666" s="102">
        <v>19216.76832</v>
      </c>
      <c r="J666" s="47">
        <v>0</v>
      </c>
      <c r="K666" s="319" t="s">
        <v>50</v>
      </c>
      <c r="L666" s="314"/>
    </row>
    <row r="667" spans="1:12" ht="19.5" customHeight="1">
      <c r="A667" s="314"/>
      <c r="B667" s="314"/>
      <c r="C667" s="64">
        <v>2018</v>
      </c>
      <c r="D667" s="181">
        <f>H667+I667+J667</f>
        <v>19564.29559</v>
      </c>
      <c r="E667" s="181">
        <v>0</v>
      </c>
      <c r="F667" s="181">
        <f t="shared" si="5"/>
        <v>377.618</v>
      </c>
      <c r="G667" s="181"/>
      <c r="H667" s="102">
        <f>377.618</f>
        <v>377.618</v>
      </c>
      <c r="I667" s="102">
        <f>15699.79296+1754.72854</f>
        <v>17454.521500000003</v>
      </c>
      <c r="J667" s="42">
        <v>1732.15609</v>
      </c>
      <c r="K667" s="320"/>
      <c r="L667" s="314"/>
    </row>
    <row r="668" spans="1:12" ht="19.5" customHeight="1">
      <c r="A668" s="314"/>
      <c r="B668" s="314"/>
      <c r="C668" s="64">
        <v>2019</v>
      </c>
      <c r="D668" s="181">
        <f>H668+I668+J668</f>
        <v>18612.268150000004</v>
      </c>
      <c r="E668" s="181">
        <v>0</v>
      </c>
      <c r="F668" s="181">
        <f t="shared" si="5"/>
        <v>427.364</v>
      </c>
      <c r="G668" s="181"/>
      <c r="H668" s="102">
        <v>427.364</v>
      </c>
      <c r="I668" s="102">
        <f>11854.18705+2523.8044+22.5+1607.853</f>
        <v>16008.34445</v>
      </c>
      <c r="J668" s="42">
        <f>1926.5597+250</f>
        <v>2176.5597</v>
      </c>
      <c r="K668" s="320"/>
      <c r="L668" s="314"/>
    </row>
    <row r="669" spans="1:12" ht="19.5" customHeight="1">
      <c r="A669" s="314"/>
      <c r="B669" s="314"/>
      <c r="C669" s="64">
        <v>2020</v>
      </c>
      <c r="D669" s="181">
        <f>H669+I669+J669</f>
        <v>19516.943529999997</v>
      </c>
      <c r="E669" s="181">
        <v>0</v>
      </c>
      <c r="F669" s="181">
        <f t="shared" si="5"/>
        <v>476</v>
      </c>
      <c r="G669" s="181"/>
      <c r="H669" s="102">
        <f>476</f>
        <v>476</v>
      </c>
      <c r="I669" s="102">
        <f>12985.506+2311.533+71.127+1707.574</f>
        <v>17075.739999999998</v>
      </c>
      <c r="J669" s="42">
        <f>1745.20353+220</f>
        <v>1965.20353</v>
      </c>
      <c r="K669" s="320"/>
      <c r="L669" s="314"/>
    </row>
    <row r="670" spans="1:12" ht="19.5" customHeight="1">
      <c r="A670" s="314"/>
      <c r="B670" s="314"/>
      <c r="C670" s="64">
        <v>2021</v>
      </c>
      <c r="D670" s="181">
        <f>F670+I670+J670</f>
        <v>2000</v>
      </c>
      <c r="E670" s="181">
        <v>0</v>
      </c>
      <c r="F670" s="181">
        <f>H670</f>
        <v>0</v>
      </c>
      <c r="G670" s="181"/>
      <c r="H670" s="102">
        <v>0</v>
      </c>
      <c r="I670" s="102">
        <v>0</v>
      </c>
      <c r="J670" s="59">
        <v>2000</v>
      </c>
      <c r="K670" s="320"/>
      <c r="L670" s="314"/>
    </row>
    <row r="671" spans="1:12" ht="19.5" customHeight="1">
      <c r="A671" s="314"/>
      <c r="B671" s="314"/>
      <c r="C671" s="64">
        <v>2020</v>
      </c>
      <c r="D671" s="181">
        <f>H671+I671+J671</f>
        <v>2000</v>
      </c>
      <c r="E671" s="181">
        <v>0</v>
      </c>
      <c r="F671" s="181">
        <f>H671</f>
        <v>0</v>
      </c>
      <c r="G671" s="181"/>
      <c r="H671" s="102">
        <v>0</v>
      </c>
      <c r="I671" s="102">
        <v>0</v>
      </c>
      <c r="J671" s="102">
        <v>2000</v>
      </c>
      <c r="K671" s="320"/>
      <c r="L671" s="314"/>
    </row>
    <row r="672" spans="1:12" ht="19.5" customHeight="1">
      <c r="A672" s="315"/>
      <c r="B672" s="315"/>
      <c r="C672" s="64">
        <v>2023</v>
      </c>
      <c r="D672" s="181">
        <f>F672+I672+J672</f>
        <v>2000</v>
      </c>
      <c r="E672" s="181">
        <v>0</v>
      </c>
      <c r="F672" s="181">
        <f>H672</f>
        <v>0</v>
      </c>
      <c r="G672" s="181"/>
      <c r="H672" s="102">
        <v>0</v>
      </c>
      <c r="I672" s="102">
        <v>0</v>
      </c>
      <c r="J672" s="59">
        <v>2000</v>
      </c>
      <c r="K672" s="321"/>
      <c r="L672" s="314"/>
    </row>
    <row r="673" spans="1:12" ht="19.5" customHeight="1">
      <c r="A673" s="313" t="s">
        <v>70</v>
      </c>
      <c r="B673" s="313" t="s">
        <v>274</v>
      </c>
      <c r="C673" s="64">
        <v>2017</v>
      </c>
      <c r="D673" s="181">
        <f>H673+I673</f>
        <v>7571.59784</v>
      </c>
      <c r="E673" s="181">
        <v>0</v>
      </c>
      <c r="F673" s="181">
        <f t="shared" si="5"/>
        <v>2218.895</v>
      </c>
      <c r="G673" s="181"/>
      <c r="H673" s="102">
        <v>2218.895</v>
      </c>
      <c r="I673" s="102">
        <v>5352.70284</v>
      </c>
      <c r="J673" s="42">
        <v>0</v>
      </c>
      <c r="K673" s="319" t="s">
        <v>53</v>
      </c>
      <c r="L673" s="314"/>
    </row>
    <row r="674" spans="1:12" ht="19.5" customHeight="1">
      <c r="A674" s="314"/>
      <c r="B674" s="314"/>
      <c r="C674" s="64">
        <v>2018</v>
      </c>
      <c r="D674" s="181">
        <f>E674+H674+I674+J674</f>
        <v>9132.78455</v>
      </c>
      <c r="E674" s="181">
        <v>0</v>
      </c>
      <c r="F674" s="181">
        <f t="shared" si="5"/>
        <v>2708.303</v>
      </c>
      <c r="G674" s="181"/>
      <c r="H674" s="102">
        <f>2708.303</f>
        <v>2708.303</v>
      </c>
      <c r="I674" s="102">
        <f>3875.09134+1687.55323</f>
        <v>5562.64457</v>
      </c>
      <c r="J674" s="42">
        <v>861.83698</v>
      </c>
      <c r="K674" s="320"/>
      <c r="L674" s="314"/>
    </row>
    <row r="675" spans="1:12" ht="19.5" customHeight="1">
      <c r="A675" s="314"/>
      <c r="B675" s="314"/>
      <c r="C675" s="64">
        <v>2019</v>
      </c>
      <c r="D675" s="181">
        <f>H675+I675+J675</f>
        <v>8303.90225</v>
      </c>
      <c r="E675" s="181">
        <v>0</v>
      </c>
      <c r="F675" s="181">
        <f t="shared" si="5"/>
        <v>2435.886</v>
      </c>
      <c r="G675" s="181"/>
      <c r="H675" s="102">
        <v>2435.886</v>
      </c>
      <c r="I675" s="102">
        <f>2523.363+2303.981+23.79343</f>
        <v>4851.13743</v>
      </c>
      <c r="J675" s="42">
        <f>866.87882+150</f>
        <v>1016.87882</v>
      </c>
      <c r="K675" s="320"/>
      <c r="L675" s="314"/>
    </row>
    <row r="676" spans="1:12" ht="19.5" customHeight="1">
      <c r="A676" s="314"/>
      <c r="B676" s="314"/>
      <c r="C676" s="64">
        <v>2020</v>
      </c>
      <c r="D676" s="181">
        <f>H676+I676+J676</f>
        <v>8957.809860000001</v>
      </c>
      <c r="E676" s="181">
        <v>0</v>
      </c>
      <c r="F676" s="181">
        <f t="shared" si="5"/>
        <v>2598.636</v>
      </c>
      <c r="G676" s="181"/>
      <c r="H676" s="102">
        <v>2598.636</v>
      </c>
      <c r="I676" s="102">
        <f>3607.222+2455.442</f>
        <v>6062.664000000001</v>
      </c>
      <c r="J676" s="42">
        <f>196.50986+100</f>
        <v>296.50986</v>
      </c>
      <c r="K676" s="320"/>
      <c r="L676" s="314"/>
    </row>
    <row r="677" spans="1:12" ht="19.5" customHeight="1">
      <c r="A677" s="314"/>
      <c r="B677" s="314"/>
      <c r="C677" s="64">
        <v>2021</v>
      </c>
      <c r="D677" s="181">
        <f>H677+I677+J677</f>
        <v>9405.105</v>
      </c>
      <c r="E677" s="181">
        <v>0</v>
      </c>
      <c r="F677" s="181">
        <f>H677</f>
        <v>2676.756</v>
      </c>
      <c r="G677" s="181"/>
      <c r="H677" s="102">
        <v>2676.756</v>
      </c>
      <c r="I677" s="102">
        <f>1569.384+2504.55+1814.415</f>
        <v>5888.349</v>
      </c>
      <c r="J677" s="42">
        <v>840</v>
      </c>
      <c r="K677" s="320"/>
      <c r="L677" s="314"/>
    </row>
    <row r="678" spans="1:12" ht="19.5" customHeight="1">
      <c r="A678" s="314"/>
      <c r="B678" s="314"/>
      <c r="C678" s="64">
        <v>2022</v>
      </c>
      <c r="D678" s="181">
        <f>F678+I678+J678</f>
        <v>8879.056</v>
      </c>
      <c r="E678" s="181"/>
      <c r="F678" s="181">
        <f>H678</f>
        <v>2676.756</v>
      </c>
      <c r="G678" s="181"/>
      <c r="H678" s="102">
        <v>2676.756</v>
      </c>
      <c r="I678" s="102">
        <f>1814.415+2504.55+1043.335</f>
        <v>5362.3</v>
      </c>
      <c r="J678" s="42">
        <v>840</v>
      </c>
      <c r="K678" s="320"/>
      <c r="L678" s="314"/>
    </row>
    <row r="679" spans="1:12" ht="19.5" customHeight="1">
      <c r="A679" s="315"/>
      <c r="B679" s="315"/>
      <c r="C679" s="64">
        <v>2023</v>
      </c>
      <c r="D679" s="181">
        <f>H679+I679+J679</f>
        <v>8853.305</v>
      </c>
      <c r="E679" s="181">
        <v>0</v>
      </c>
      <c r="F679" s="181">
        <f>H679</f>
        <v>2676.756</v>
      </c>
      <c r="G679" s="181"/>
      <c r="H679" s="102">
        <v>2676.756</v>
      </c>
      <c r="I679" s="102">
        <f>1017.584+2504.55+1814.415</f>
        <v>5336.549</v>
      </c>
      <c r="J679" s="42">
        <v>840</v>
      </c>
      <c r="K679" s="321"/>
      <c r="L679" s="314"/>
    </row>
    <row r="680" spans="1:12" ht="19.5" customHeight="1">
      <c r="A680" s="313" t="s">
        <v>71</v>
      </c>
      <c r="B680" s="313" t="s">
        <v>275</v>
      </c>
      <c r="C680" s="64">
        <v>2017</v>
      </c>
      <c r="D680" s="181">
        <f>H680+I680+J680</f>
        <v>7311.10506</v>
      </c>
      <c r="E680" s="181">
        <v>0</v>
      </c>
      <c r="F680" s="181">
        <f t="shared" si="5"/>
        <v>1796.192</v>
      </c>
      <c r="G680" s="181"/>
      <c r="H680" s="102">
        <v>1796.192</v>
      </c>
      <c r="I680" s="102">
        <v>5514.91306</v>
      </c>
      <c r="J680" s="42">
        <v>0</v>
      </c>
      <c r="K680" s="319" t="s">
        <v>54</v>
      </c>
      <c r="L680" s="314"/>
    </row>
    <row r="681" spans="1:12" ht="19.5" customHeight="1">
      <c r="A681" s="314"/>
      <c r="B681" s="314"/>
      <c r="C681" s="64">
        <v>2018</v>
      </c>
      <c r="D681" s="181">
        <f>E681+H681+I681+J681</f>
        <v>7880.230140000001</v>
      </c>
      <c r="E681" s="181">
        <v>0</v>
      </c>
      <c r="F681" s="181">
        <f t="shared" si="5"/>
        <v>1605.97</v>
      </c>
      <c r="G681" s="181"/>
      <c r="H681" s="102">
        <v>1605.97</v>
      </c>
      <c r="I681" s="102">
        <f>3872.66396+1732.99351</f>
        <v>5605.65747</v>
      </c>
      <c r="J681" s="42">
        <v>668.60267</v>
      </c>
      <c r="K681" s="320"/>
      <c r="L681" s="314"/>
    </row>
    <row r="682" spans="1:12" ht="19.5" customHeight="1">
      <c r="A682" s="314"/>
      <c r="B682" s="314"/>
      <c r="C682" s="64">
        <v>2019</v>
      </c>
      <c r="D682" s="181">
        <f>F682+I682+J682</f>
        <v>9120.455909999999</v>
      </c>
      <c r="E682" s="181">
        <v>0</v>
      </c>
      <c r="F682" s="181">
        <f t="shared" si="5"/>
        <v>1474.984</v>
      </c>
      <c r="G682" s="181"/>
      <c r="H682" s="102">
        <v>1474.984</v>
      </c>
      <c r="I682" s="102">
        <f>1825.366+1830.649+132.158</f>
        <v>3788.173</v>
      </c>
      <c r="J682" s="42">
        <f>3707.29891+150</f>
        <v>3857.29891</v>
      </c>
      <c r="K682" s="320"/>
      <c r="L682" s="314"/>
    </row>
    <row r="683" spans="1:12" ht="19.5" customHeight="1">
      <c r="A683" s="314"/>
      <c r="B683" s="314"/>
      <c r="C683" s="64">
        <v>2020</v>
      </c>
      <c r="D683" s="181">
        <f>H683+I683+J683</f>
        <v>9007.71767</v>
      </c>
      <c r="E683" s="181">
        <v>0</v>
      </c>
      <c r="F683" s="181">
        <f t="shared" si="5"/>
        <v>1474.984</v>
      </c>
      <c r="G683" s="181"/>
      <c r="H683" s="102">
        <f>1474.984</f>
        <v>1474.984</v>
      </c>
      <c r="I683" s="102">
        <f>3706.741+1896.171</f>
        <v>5602.912</v>
      </c>
      <c r="J683" s="42">
        <f>1709.82167+220</f>
        <v>1929.82167</v>
      </c>
      <c r="K683" s="320"/>
      <c r="L683" s="314"/>
    </row>
    <row r="684" spans="1:12" ht="19.5" customHeight="1">
      <c r="A684" s="314"/>
      <c r="B684" s="314"/>
      <c r="C684" s="64">
        <v>2021</v>
      </c>
      <c r="D684" s="181">
        <f>H684+I684+J684</f>
        <v>11051.17</v>
      </c>
      <c r="E684" s="181">
        <v>0</v>
      </c>
      <c r="F684" s="181">
        <f>H684</f>
        <v>1534.97</v>
      </c>
      <c r="G684" s="181"/>
      <c r="H684" s="102">
        <v>1534.97</v>
      </c>
      <c r="I684" s="102">
        <f>2245.665+1934.094+1436.441</f>
        <v>5616.2</v>
      </c>
      <c r="J684" s="42">
        <v>3900</v>
      </c>
      <c r="K684" s="320"/>
      <c r="L684" s="314"/>
    </row>
    <row r="685" spans="1:12" ht="19.5" customHeight="1">
      <c r="A685" s="314"/>
      <c r="B685" s="314"/>
      <c r="C685" s="64">
        <v>2022</v>
      </c>
      <c r="D685" s="181">
        <f>F685+I685+J685</f>
        <v>10826.470000000001</v>
      </c>
      <c r="E685" s="181"/>
      <c r="F685" s="181">
        <f>H685</f>
        <v>1534.97</v>
      </c>
      <c r="G685" s="181"/>
      <c r="H685" s="102">
        <v>1534.97</v>
      </c>
      <c r="I685" s="102">
        <f>2020.965+1934.094+1436.441</f>
        <v>5391.5</v>
      </c>
      <c r="J685" s="42">
        <v>3900</v>
      </c>
      <c r="K685" s="320"/>
      <c r="L685" s="314"/>
    </row>
    <row r="686" spans="1:12" ht="19.5" customHeight="1">
      <c r="A686" s="315"/>
      <c r="B686" s="315"/>
      <c r="C686" s="64">
        <v>2023</v>
      </c>
      <c r="D686" s="181">
        <f>H686+I686+J686</f>
        <v>10794.470000000001</v>
      </c>
      <c r="E686" s="181">
        <v>0</v>
      </c>
      <c r="F686" s="181">
        <f>H686</f>
        <v>1534.97</v>
      </c>
      <c r="G686" s="181"/>
      <c r="H686" s="102">
        <v>1534.97</v>
      </c>
      <c r="I686" s="102">
        <f>1436.441+1934.094+1988.965</f>
        <v>5359.5</v>
      </c>
      <c r="J686" s="42">
        <v>3900</v>
      </c>
      <c r="K686" s="321"/>
      <c r="L686" s="314"/>
    </row>
    <row r="687" spans="1:12" ht="19.5" customHeight="1">
      <c r="A687" s="313" t="s">
        <v>109</v>
      </c>
      <c r="B687" s="313" t="s">
        <v>276</v>
      </c>
      <c r="C687" s="64">
        <v>2017</v>
      </c>
      <c r="D687" s="181">
        <f>H687+I687</f>
        <v>1787.53995</v>
      </c>
      <c r="E687" s="181">
        <v>0</v>
      </c>
      <c r="F687" s="181"/>
      <c r="G687" s="181"/>
      <c r="H687" s="102">
        <v>0</v>
      </c>
      <c r="I687" s="102">
        <v>1787.53995</v>
      </c>
      <c r="J687" s="42">
        <v>0</v>
      </c>
      <c r="K687" s="319" t="s">
        <v>55</v>
      </c>
      <c r="L687" s="314"/>
    </row>
    <row r="688" spans="1:12" ht="19.5" customHeight="1">
      <c r="A688" s="314"/>
      <c r="B688" s="314"/>
      <c r="C688" s="64">
        <v>2018</v>
      </c>
      <c r="D688" s="181">
        <f>E688+H688+I688+J688</f>
        <v>2010.1684899999998</v>
      </c>
      <c r="E688" s="181">
        <v>0</v>
      </c>
      <c r="F688" s="181"/>
      <c r="G688" s="181"/>
      <c r="H688" s="102">
        <v>0</v>
      </c>
      <c r="I688" s="102">
        <f>1396.513+40.091-0.01909</f>
        <v>1436.5849099999998</v>
      </c>
      <c r="J688" s="42">
        <v>573.58358</v>
      </c>
      <c r="K688" s="320"/>
      <c r="L688" s="314"/>
    </row>
    <row r="689" spans="1:12" ht="19.5" customHeight="1">
      <c r="A689" s="314"/>
      <c r="B689" s="314"/>
      <c r="C689" s="64">
        <v>2019</v>
      </c>
      <c r="D689" s="181">
        <f>E689+I689+J689</f>
        <v>2727.52317</v>
      </c>
      <c r="E689" s="181">
        <v>0</v>
      </c>
      <c r="F689" s="181"/>
      <c r="G689" s="181"/>
      <c r="H689" s="102">
        <v>0</v>
      </c>
      <c r="I689" s="102">
        <f>2012.398</f>
        <v>2012.398</v>
      </c>
      <c r="J689" s="42">
        <f>615.12517+100</f>
        <v>715.12517</v>
      </c>
      <c r="K689" s="320"/>
      <c r="L689" s="314"/>
    </row>
    <row r="690" spans="1:12" ht="19.5" customHeight="1">
      <c r="A690" s="314"/>
      <c r="B690" s="314"/>
      <c r="C690" s="64">
        <v>2020</v>
      </c>
      <c r="D690" s="181">
        <f>I690+J690</f>
        <v>2518.4664000000002</v>
      </c>
      <c r="E690" s="181">
        <v>0</v>
      </c>
      <c r="F690" s="181"/>
      <c r="G690" s="181"/>
      <c r="H690" s="102">
        <v>0</v>
      </c>
      <c r="I690" s="102">
        <f>1976.976+24.612</f>
        <v>2001.5880000000002</v>
      </c>
      <c r="J690" s="42">
        <f>416.8784+100</f>
        <v>516.8784</v>
      </c>
      <c r="K690" s="320"/>
      <c r="L690" s="314"/>
    </row>
    <row r="691" spans="1:12" ht="19.5" customHeight="1">
      <c r="A691" s="314"/>
      <c r="B691" s="314"/>
      <c r="C691" s="64">
        <v>2021</v>
      </c>
      <c r="D691" s="181">
        <f>H691+I691+J691</f>
        <v>2548.929</v>
      </c>
      <c r="E691" s="181">
        <v>0</v>
      </c>
      <c r="F691" s="181"/>
      <c r="G691" s="181"/>
      <c r="H691" s="102">
        <f>H690</f>
        <v>0</v>
      </c>
      <c r="I691" s="102">
        <f>580.267+1428.662</f>
        <v>2008.929</v>
      </c>
      <c r="J691" s="42">
        <v>540</v>
      </c>
      <c r="K691" s="320"/>
      <c r="L691" s="314"/>
    </row>
    <row r="692" spans="1:12" ht="19.5" customHeight="1">
      <c r="A692" s="314"/>
      <c r="B692" s="314"/>
      <c r="C692" s="64">
        <v>2022</v>
      </c>
      <c r="D692" s="181">
        <f>I692+J692</f>
        <v>2341.429</v>
      </c>
      <c r="E692" s="181"/>
      <c r="F692" s="181"/>
      <c r="G692" s="181"/>
      <c r="H692" s="102"/>
      <c r="I692" s="102">
        <f>1428.662+372.767</f>
        <v>1801.429</v>
      </c>
      <c r="J692" s="42">
        <v>540</v>
      </c>
      <c r="K692" s="320"/>
      <c r="L692" s="314"/>
    </row>
    <row r="693" spans="1:12" ht="19.5" customHeight="1">
      <c r="A693" s="315"/>
      <c r="B693" s="315"/>
      <c r="C693" s="64">
        <v>2023</v>
      </c>
      <c r="D693" s="181">
        <f>H693+I693+J693</f>
        <v>2328.429</v>
      </c>
      <c r="E693" s="181">
        <v>0</v>
      </c>
      <c r="F693" s="181"/>
      <c r="G693" s="181"/>
      <c r="H693" s="102">
        <f>H691</f>
        <v>0</v>
      </c>
      <c r="I693" s="102">
        <f>359.767+1428.662</f>
        <v>1788.429</v>
      </c>
      <c r="J693" s="42">
        <v>540</v>
      </c>
      <c r="K693" s="321"/>
      <c r="L693" s="314"/>
    </row>
    <row r="694" spans="1:12" ht="19.5" customHeight="1">
      <c r="A694" s="313" t="s">
        <v>110</v>
      </c>
      <c r="B694" s="313" t="s">
        <v>277</v>
      </c>
      <c r="C694" s="64">
        <v>2017</v>
      </c>
      <c r="D694" s="181">
        <f>H694+I694</f>
        <v>3025.10411</v>
      </c>
      <c r="E694" s="181">
        <v>0</v>
      </c>
      <c r="F694" s="181">
        <f>H694+G694</f>
        <v>1177.145</v>
      </c>
      <c r="G694" s="181"/>
      <c r="H694" s="102">
        <v>1177.145</v>
      </c>
      <c r="I694" s="102">
        <v>1847.95911</v>
      </c>
      <c r="J694" s="42">
        <v>0</v>
      </c>
      <c r="K694" s="398" t="s">
        <v>56</v>
      </c>
      <c r="L694" s="314"/>
    </row>
    <row r="695" spans="1:12" ht="19.5" customHeight="1">
      <c r="A695" s="314"/>
      <c r="B695" s="314"/>
      <c r="C695" s="64">
        <v>2018</v>
      </c>
      <c r="D695" s="181">
        <f>E695+H695+I695</f>
        <v>2856.56973</v>
      </c>
      <c r="E695" s="181">
        <v>0</v>
      </c>
      <c r="F695" s="181">
        <f aca="true" t="shared" si="6" ref="F695:F704">G695+H695</f>
        <v>1236.702</v>
      </c>
      <c r="G695" s="181"/>
      <c r="H695" s="102">
        <v>1236.702</v>
      </c>
      <c r="I695" s="102">
        <f>583.44253+1036.4252</f>
        <v>1619.86773</v>
      </c>
      <c r="J695" s="42">
        <v>0</v>
      </c>
      <c r="K695" s="399"/>
      <c r="L695" s="314"/>
    </row>
    <row r="696" spans="1:12" ht="19.5" customHeight="1">
      <c r="A696" s="314"/>
      <c r="B696" s="314"/>
      <c r="C696" s="64">
        <v>2019</v>
      </c>
      <c r="D696" s="181">
        <f>H696+I696+J696</f>
        <v>3233.91</v>
      </c>
      <c r="E696" s="181">
        <v>0</v>
      </c>
      <c r="F696" s="181">
        <f t="shared" si="6"/>
        <v>1262.191</v>
      </c>
      <c r="G696" s="181"/>
      <c r="H696" s="102">
        <f>1262.191</f>
        <v>1262.191</v>
      </c>
      <c r="I696" s="102">
        <f>660.205+1311.514</f>
        <v>1971.719</v>
      </c>
      <c r="J696" s="42">
        <v>0</v>
      </c>
      <c r="K696" s="399"/>
      <c r="L696" s="314"/>
    </row>
    <row r="697" spans="1:12" ht="19.5" customHeight="1">
      <c r="A697" s="314"/>
      <c r="B697" s="314"/>
      <c r="C697" s="64">
        <v>2020</v>
      </c>
      <c r="D697" s="181">
        <f>H697+I697+J697</f>
        <v>3436.75</v>
      </c>
      <c r="E697" s="181">
        <v>0</v>
      </c>
      <c r="F697" s="181">
        <f t="shared" si="6"/>
        <v>1405.42</v>
      </c>
      <c r="G697" s="181"/>
      <c r="H697" s="102">
        <f>1405.42</f>
        <v>1405.42</v>
      </c>
      <c r="I697" s="102">
        <f>714.875+1299.455+17</f>
        <v>2031.33</v>
      </c>
      <c r="J697" s="42">
        <v>0</v>
      </c>
      <c r="K697" s="399"/>
      <c r="L697" s="314"/>
    </row>
    <row r="698" spans="1:12" ht="19.5" customHeight="1">
      <c r="A698" s="314"/>
      <c r="B698" s="314"/>
      <c r="C698" s="64">
        <v>2021</v>
      </c>
      <c r="D698" s="181">
        <f>H698+I698+J698</f>
        <v>3486.548</v>
      </c>
      <c r="E698" s="181"/>
      <c r="F698" s="181">
        <f>H698</f>
        <v>1431.46</v>
      </c>
      <c r="G698" s="181"/>
      <c r="H698" s="102">
        <v>1431.46</v>
      </c>
      <c r="I698" s="102">
        <f>197.1+1325.444+532.544</f>
        <v>2055.0879999999997</v>
      </c>
      <c r="J698" s="42">
        <f>J25</f>
        <v>0</v>
      </c>
      <c r="K698" s="399"/>
      <c r="L698" s="314"/>
    </row>
    <row r="699" spans="1:12" ht="19.5" customHeight="1">
      <c r="A699" s="314"/>
      <c r="B699" s="314"/>
      <c r="C699" s="64">
        <v>2022</v>
      </c>
      <c r="D699" s="181">
        <f>H699+I699+J699</f>
        <v>3331.187</v>
      </c>
      <c r="E699" s="181"/>
      <c r="F699" s="181">
        <f>H699</f>
        <v>1431.46</v>
      </c>
      <c r="G699" s="181"/>
      <c r="H699" s="102">
        <v>1431.46</v>
      </c>
      <c r="I699" s="102">
        <f>41.739+1325.444+532.544</f>
        <v>1899.7269999999999</v>
      </c>
      <c r="J699" s="42">
        <f>J26</f>
        <v>0</v>
      </c>
      <c r="K699" s="399"/>
      <c r="L699" s="314"/>
    </row>
    <row r="700" spans="1:12" ht="19.5" customHeight="1">
      <c r="A700" s="315"/>
      <c r="B700" s="315"/>
      <c r="C700" s="64">
        <v>2023</v>
      </c>
      <c r="D700" s="181">
        <f>H700+I700+J700</f>
        <v>3328.618</v>
      </c>
      <c r="E700" s="181"/>
      <c r="F700" s="181">
        <f>H700</f>
        <v>1431.46</v>
      </c>
      <c r="G700" s="181"/>
      <c r="H700" s="102">
        <v>1431.46</v>
      </c>
      <c r="I700" s="102">
        <f>532.544+1325.444+39.17</f>
        <v>1897.158</v>
      </c>
      <c r="J700" s="42"/>
      <c r="K700" s="400"/>
      <c r="L700" s="314"/>
    </row>
    <row r="701" spans="1:12" ht="19.5" customHeight="1">
      <c r="A701" s="313" t="s">
        <v>111</v>
      </c>
      <c r="B701" s="313" t="s">
        <v>278</v>
      </c>
      <c r="C701" s="64">
        <v>2017</v>
      </c>
      <c r="D701" s="181">
        <f>H701+I701</f>
        <v>9997.699139999999</v>
      </c>
      <c r="E701" s="181">
        <v>0</v>
      </c>
      <c r="F701" s="181">
        <f t="shared" si="6"/>
        <v>1384.168</v>
      </c>
      <c r="G701" s="181"/>
      <c r="H701" s="102">
        <v>1384.168</v>
      </c>
      <c r="I701" s="102">
        <v>8613.53114</v>
      </c>
      <c r="J701" s="42">
        <v>0</v>
      </c>
      <c r="K701" s="319" t="s">
        <v>49</v>
      </c>
      <c r="L701" s="314"/>
    </row>
    <row r="702" spans="1:12" ht="19.5" customHeight="1">
      <c r="A702" s="314"/>
      <c r="B702" s="314"/>
      <c r="C702" s="64">
        <v>2018</v>
      </c>
      <c r="D702" s="181">
        <f>E702+H702+I702+J702</f>
        <v>10560.688610000001</v>
      </c>
      <c r="E702" s="181">
        <v>0</v>
      </c>
      <c r="F702" s="181">
        <f t="shared" si="6"/>
        <v>1521.225</v>
      </c>
      <c r="G702" s="181"/>
      <c r="H702" s="102">
        <v>1521.225</v>
      </c>
      <c r="I702" s="102">
        <f>6645.89375+1374.32557</f>
        <v>8020.21932</v>
      </c>
      <c r="J702" s="42">
        <v>1019.24429</v>
      </c>
      <c r="K702" s="320"/>
      <c r="L702" s="314"/>
    </row>
    <row r="703" spans="1:12" ht="19.5" customHeight="1">
      <c r="A703" s="314"/>
      <c r="B703" s="314"/>
      <c r="C703" s="64">
        <v>2019</v>
      </c>
      <c r="D703" s="181">
        <f>F703+I703+J703</f>
        <v>10638.6773</v>
      </c>
      <c r="E703" s="181">
        <v>0</v>
      </c>
      <c r="F703" s="181">
        <f t="shared" si="6"/>
        <v>1514.039</v>
      </c>
      <c r="G703" s="181"/>
      <c r="H703" s="102">
        <v>1514.039</v>
      </c>
      <c r="I703" s="102">
        <f>6000.2454+1623.656+373.01001</f>
        <v>7996.91141</v>
      </c>
      <c r="J703" s="42">
        <f>977.72689+150</f>
        <v>1127.72689</v>
      </c>
      <c r="K703" s="320"/>
      <c r="L703" s="314"/>
    </row>
    <row r="704" spans="1:12" ht="19.5" customHeight="1">
      <c r="A704" s="314"/>
      <c r="B704" s="314"/>
      <c r="C704" s="64">
        <v>2020</v>
      </c>
      <c r="D704" s="181">
        <f>F704+I704+J704</f>
        <v>10067.785</v>
      </c>
      <c r="E704" s="181">
        <v>0</v>
      </c>
      <c r="F704" s="181">
        <f t="shared" si="6"/>
        <v>1592.151</v>
      </c>
      <c r="G704" s="181"/>
      <c r="H704" s="102">
        <f>1592.151</f>
        <v>1592.151</v>
      </c>
      <c r="I704" s="102">
        <f>6081.82846+1793.032</f>
        <v>7874.86046</v>
      </c>
      <c r="J704" s="42">
        <f>450.77354+150</f>
        <v>600.77354</v>
      </c>
      <c r="K704" s="320"/>
      <c r="L704" s="314"/>
    </row>
    <row r="705" spans="1:12" ht="19.5" customHeight="1">
      <c r="A705" s="314"/>
      <c r="B705" s="314"/>
      <c r="C705" s="64">
        <v>2021</v>
      </c>
      <c r="D705" s="181">
        <f>H705+I705+J705</f>
        <v>10170.823</v>
      </c>
      <c r="E705" s="181">
        <v>0</v>
      </c>
      <c r="F705" s="181">
        <f>H705+G705</f>
        <v>1627.305</v>
      </c>
      <c r="G705" s="181"/>
      <c r="H705" s="102">
        <v>1627.305</v>
      </c>
      <c r="I705" s="102">
        <f>4326.558+1828.893+1448.067</f>
        <v>7603.518</v>
      </c>
      <c r="J705" s="42">
        <v>940</v>
      </c>
      <c r="K705" s="320"/>
      <c r="L705" s="314"/>
    </row>
    <row r="706" spans="1:12" ht="19.5" customHeight="1">
      <c r="A706" s="314"/>
      <c r="B706" s="314"/>
      <c r="C706" s="64">
        <v>2022</v>
      </c>
      <c r="D706" s="181">
        <f>H706+I706+J706</f>
        <v>9327.123</v>
      </c>
      <c r="E706" s="181">
        <v>0</v>
      </c>
      <c r="F706" s="181">
        <f>G706+H706</f>
        <v>1627.305</v>
      </c>
      <c r="G706" s="181"/>
      <c r="H706" s="102">
        <v>1627.305</v>
      </c>
      <c r="I706" s="102">
        <f>3482.858+1828.893+1448.067</f>
        <v>6759.818</v>
      </c>
      <c r="J706" s="42">
        <v>940</v>
      </c>
      <c r="K706" s="320"/>
      <c r="L706" s="314"/>
    </row>
    <row r="707" spans="1:12" ht="19.5" customHeight="1">
      <c r="A707" s="315"/>
      <c r="B707" s="315"/>
      <c r="C707" s="64">
        <v>2023</v>
      </c>
      <c r="D707" s="181">
        <f>H707+I707+J707</f>
        <v>9235.623</v>
      </c>
      <c r="E707" s="181"/>
      <c r="F707" s="181">
        <f>H707+I707</f>
        <v>8295.623</v>
      </c>
      <c r="G707" s="181"/>
      <c r="H707" s="102">
        <v>1627.305</v>
      </c>
      <c r="I707" s="102">
        <f>3391.358+1828.893+1448.067</f>
        <v>6668.318</v>
      </c>
      <c r="J707" s="42">
        <v>940</v>
      </c>
      <c r="K707" s="321"/>
      <c r="L707" s="314"/>
    </row>
    <row r="708" spans="1:12" ht="19.5" customHeight="1">
      <c r="A708" s="325" t="s">
        <v>178</v>
      </c>
      <c r="B708" s="325" t="s">
        <v>227</v>
      </c>
      <c r="C708" s="66">
        <v>2017</v>
      </c>
      <c r="D708" s="181">
        <f>J706+I708</f>
        <v>11940</v>
      </c>
      <c r="E708" s="181">
        <v>0</v>
      </c>
      <c r="F708" s="181"/>
      <c r="G708" s="181"/>
      <c r="H708" s="102">
        <v>0</v>
      </c>
      <c r="I708" s="102">
        <v>11000</v>
      </c>
      <c r="J708" s="42">
        <v>0</v>
      </c>
      <c r="K708" s="48"/>
      <c r="L708" s="314"/>
    </row>
    <row r="709" spans="1:12" ht="19.5" customHeight="1">
      <c r="A709" s="325"/>
      <c r="B709" s="325"/>
      <c r="C709" s="66">
        <v>2018</v>
      </c>
      <c r="D709" s="45">
        <f>I709</f>
        <v>0</v>
      </c>
      <c r="E709" s="45">
        <v>0</v>
      </c>
      <c r="F709" s="45"/>
      <c r="G709" s="45"/>
      <c r="H709" s="173">
        <v>0</v>
      </c>
      <c r="I709" s="173">
        <v>0</v>
      </c>
      <c r="J709" s="49">
        <v>0</v>
      </c>
      <c r="K709" s="48"/>
      <c r="L709" s="314"/>
    </row>
    <row r="710" spans="1:12" ht="19.5" customHeight="1">
      <c r="A710" s="325"/>
      <c r="B710" s="325"/>
      <c r="C710" s="66">
        <v>2019</v>
      </c>
      <c r="D710" s="45">
        <v>0</v>
      </c>
      <c r="E710" s="45">
        <v>0</v>
      </c>
      <c r="F710" s="45"/>
      <c r="G710" s="45"/>
      <c r="H710" s="173">
        <v>0</v>
      </c>
      <c r="I710" s="173">
        <v>0</v>
      </c>
      <c r="J710" s="49">
        <v>0</v>
      </c>
      <c r="K710" s="48"/>
      <c r="L710" s="314"/>
    </row>
    <row r="711" spans="1:12" ht="19.5" customHeight="1">
      <c r="A711" s="325"/>
      <c r="B711" s="325"/>
      <c r="C711" s="67">
        <v>2020</v>
      </c>
      <c r="D711" s="50">
        <v>0</v>
      </c>
      <c r="E711" s="50">
        <v>0</v>
      </c>
      <c r="F711" s="50"/>
      <c r="G711" s="50"/>
      <c r="H711" s="51">
        <v>0</v>
      </c>
      <c r="I711" s="51">
        <v>0</v>
      </c>
      <c r="J711" s="50">
        <v>0</v>
      </c>
      <c r="K711" s="48"/>
      <c r="L711" s="314"/>
    </row>
    <row r="712" spans="1:12" ht="19.5" customHeight="1">
      <c r="A712" s="325"/>
      <c r="B712" s="325"/>
      <c r="C712" s="67">
        <v>2021</v>
      </c>
      <c r="D712" s="50">
        <v>0</v>
      </c>
      <c r="E712" s="50">
        <v>0</v>
      </c>
      <c r="F712" s="50"/>
      <c r="G712" s="50"/>
      <c r="H712" s="51">
        <v>0</v>
      </c>
      <c r="I712" s="51">
        <v>0</v>
      </c>
      <c r="J712" s="50">
        <v>0</v>
      </c>
      <c r="K712" s="48"/>
      <c r="L712" s="314"/>
    </row>
    <row r="713" spans="1:12" ht="19.5" customHeight="1">
      <c r="A713" s="325"/>
      <c r="B713" s="325"/>
      <c r="C713" s="67">
        <v>2022</v>
      </c>
      <c r="D713" s="50">
        <v>0</v>
      </c>
      <c r="E713" s="50">
        <v>0</v>
      </c>
      <c r="F713" s="50"/>
      <c r="G713" s="50"/>
      <c r="H713" s="51">
        <v>0</v>
      </c>
      <c r="I713" s="51">
        <v>0</v>
      </c>
      <c r="J713" s="50">
        <v>0</v>
      </c>
      <c r="K713" s="48"/>
      <c r="L713" s="314"/>
    </row>
    <row r="714" spans="1:12" ht="19.5" customHeight="1">
      <c r="A714" s="325"/>
      <c r="B714" s="325"/>
      <c r="C714" s="67">
        <v>2023</v>
      </c>
      <c r="D714" s="50">
        <v>0</v>
      </c>
      <c r="E714" s="50">
        <v>0</v>
      </c>
      <c r="F714" s="50"/>
      <c r="G714" s="50"/>
      <c r="H714" s="51">
        <v>0</v>
      </c>
      <c r="I714" s="51">
        <v>0</v>
      </c>
      <c r="J714" s="50">
        <v>0</v>
      </c>
      <c r="K714" s="48"/>
      <c r="L714" s="314"/>
    </row>
    <row r="715" spans="1:12" ht="19.5" customHeight="1">
      <c r="A715" s="329" t="s">
        <v>164</v>
      </c>
      <c r="B715" s="330"/>
      <c r="C715" s="63">
        <v>2017</v>
      </c>
      <c r="D715" s="185">
        <f>H715+I715</f>
        <v>71267.23366</v>
      </c>
      <c r="E715" s="185">
        <v>0</v>
      </c>
      <c r="F715" s="185">
        <f>H715+G715</f>
        <v>9022.5</v>
      </c>
      <c r="G715" s="185"/>
      <c r="H715" s="185">
        <f>H701+H694+H680+H673+H666+H659</f>
        <v>9022.5</v>
      </c>
      <c r="I715" s="185">
        <f>I701+I694+I687+I680+I673+I666+I659+I708</f>
        <v>62244.73366</v>
      </c>
      <c r="J715" s="49">
        <v>0</v>
      </c>
      <c r="K715" s="52"/>
      <c r="L715" s="315"/>
    </row>
    <row r="716" spans="1:12" ht="19.5" customHeight="1">
      <c r="A716" s="331"/>
      <c r="B716" s="332"/>
      <c r="C716" s="63">
        <v>2018</v>
      </c>
      <c r="D716" s="185">
        <f>H716+I716+J716</f>
        <v>64692.00684</v>
      </c>
      <c r="E716" s="185">
        <f>E206+E213+E220+E227+E627+E628+E637+E638+E639+E657+E661+E668+E675+E682+E683+E688+E695+E702+E651</f>
        <v>0</v>
      </c>
      <c r="F716" s="185">
        <f>G716+H716</f>
        <v>10191.218</v>
      </c>
      <c r="G716" s="185"/>
      <c r="H716" s="185">
        <f>H660+H667+H674+H681+H695+H702</f>
        <v>10191.218</v>
      </c>
      <c r="I716" s="185">
        <f>I660+I667+I674+I681+I688+I695+I702+I709</f>
        <v>48561.75009</v>
      </c>
      <c r="J716" s="53">
        <f>J702+J695+J688+J681+J674+J667+J660</f>
        <v>5939.03875</v>
      </c>
      <c r="K716" s="43"/>
      <c r="L716" s="46"/>
    </row>
    <row r="717" spans="1:12" ht="19.5" customHeight="1">
      <c r="A717" s="331"/>
      <c r="B717" s="332"/>
      <c r="C717" s="63">
        <v>2019</v>
      </c>
      <c r="D717" s="185">
        <f>E717+H717+I717+J717</f>
        <v>64963.87522</v>
      </c>
      <c r="E717" s="185">
        <f>E204+E211+E218+E225+E629+E652+E658+E662+E669+E676+E689+E696+E703</f>
        <v>0</v>
      </c>
      <c r="F717" s="185">
        <f>G717+H717</f>
        <v>10586.964000000002</v>
      </c>
      <c r="G717" s="185"/>
      <c r="H717" s="185">
        <f>H661+H668+H675+H682+H696+H703</f>
        <v>10586.964000000002</v>
      </c>
      <c r="I717" s="185">
        <f>I703+I696+I689+I682+I675+I668+I661</f>
        <v>44433.64029</v>
      </c>
      <c r="J717" s="53">
        <f>J703+J696+J689+J682+J675+J668+J661</f>
        <v>9943.270929999999</v>
      </c>
      <c r="K717" s="43"/>
      <c r="L717" s="44"/>
    </row>
    <row r="718" spans="1:12" ht="19.5" customHeight="1">
      <c r="A718" s="331"/>
      <c r="B718" s="332"/>
      <c r="C718" s="63">
        <v>2020</v>
      </c>
      <c r="D718" s="246">
        <f>H718+I718+J718</f>
        <v>67372.24571</v>
      </c>
      <c r="E718" s="246">
        <f>E205+E219+E226+E635+E654+E660+E667+E674+E681+E690+E697+E704</f>
        <v>0</v>
      </c>
      <c r="F718" s="246">
        <f>H718+G718</f>
        <v>11163.9</v>
      </c>
      <c r="G718" s="246"/>
      <c r="H718" s="246">
        <f>H662+H669+H676+H683+H697+H704</f>
        <v>11163.9</v>
      </c>
      <c r="I718" s="246">
        <f>I662+I669+I676+I683+I690+I697+I704</f>
        <v>50326.69046</v>
      </c>
      <c r="J718" s="247">
        <f>J704+J697+J690+J683+J676+J669+J662</f>
        <v>5881.65525</v>
      </c>
      <c r="K718" s="43"/>
      <c r="L718" s="44"/>
    </row>
    <row r="719" spans="1:12" ht="19.5" customHeight="1">
      <c r="A719" s="331"/>
      <c r="B719" s="332"/>
      <c r="C719" s="215">
        <v>2021</v>
      </c>
      <c r="D719" s="54">
        <f>H719+I719+J719</f>
        <v>51669.492</v>
      </c>
      <c r="E719" s="54">
        <v>0</v>
      </c>
      <c r="F719" s="54">
        <f>H719</f>
        <v>10757</v>
      </c>
      <c r="G719" s="54"/>
      <c r="H719" s="54">
        <f>H713+H705+H698+H691+H684+H677+H670+H663</f>
        <v>10757</v>
      </c>
      <c r="I719" s="54">
        <f>I713+I705+I698+I691+I684+I670+I663+I677</f>
        <v>31942.492</v>
      </c>
      <c r="J719" s="54">
        <f>J713+J705+J698+J691+J684+J677+J670+J663</f>
        <v>8970</v>
      </c>
      <c r="K719" s="54"/>
      <c r="L719" s="44"/>
    </row>
    <row r="720" spans="1:12" ht="19.5" customHeight="1">
      <c r="A720" s="331"/>
      <c r="B720" s="332"/>
      <c r="C720" s="215">
        <v>2022</v>
      </c>
      <c r="D720" s="54">
        <f>H720+I720+J720</f>
        <v>49396.982</v>
      </c>
      <c r="E720" s="54">
        <v>0</v>
      </c>
      <c r="F720" s="54">
        <f>H720</f>
        <v>10757</v>
      </c>
      <c r="G720" s="54"/>
      <c r="H720" s="54">
        <f aca="true" t="shared" si="7" ref="H720:J721">H706+H699+H692+H685+H678+H671+H664</f>
        <v>10757</v>
      </c>
      <c r="I720" s="54">
        <f>I706+I699+I692+I685+I678+I671+I664</f>
        <v>29669.982</v>
      </c>
      <c r="J720" s="54">
        <f t="shared" si="7"/>
        <v>8970</v>
      </c>
      <c r="K720" s="54"/>
      <c r="L720" s="44"/>
    </row>
    <row r="721" spans="1:12" ht="19.5" customHeight="1">
      <c r="A721" s="333"/>
      <c r="B721" s="334"/>
      <c r="C721" s="215">
        <v>2023</v>
      </c>
      <c r="D721" s="54">
        <f>F721+I721+J721</f>
        <v>49197.162</v>
      </c>
      <c r="E721" s="54"/>
      <c r="F721" s="54">
        <f>H721</f>
        <v>10757</v>
      </c>
      <c r="G721" s="54"/>
      <c r="H721" s="54">
        <f t="shared" si="7"/>
        <v>10757</v>
      </c>
      <c r="I721" s="54">
        <f t="shared" si="7"/>
        <v>29470.162</v>
      </c>
      <c r="J721" s="54">
        <f t="shared" si="7"/>
        <v>8970</v>
      </c>
      <c r="K721" s="54"/>
      <c r="L721" s="44"/>
    </row>
    <row r="722" spans="1:12" ht="19.5" customHeight="1">
      <c r="A722" s="322" t="s">
        <v>96</v>
      </c>
      <c r="B722" s="323"/>
      <c r="C722" s="323"/>
      <c r="D722" s="323"/>
      <c r="E722" s="323"/>
      <c r="F722" s="323"/>
      <c r="G722" s="323"/>
      <c r="H722" s="323"/>
      <c r="I722" s="323"/>
      <c r="J722" s="324"/>
      <c r="K722" s="55"/>
      <c r="L722" s="54"/>
    </row>
    <row r="723" spans="1:12" ht="19.5" customHeight="1">
      <c r="A723" s="42" t="s">
        <v>148</v>
      </c>
      <c r="B723" s="56" t="s">
        <v>149</v>
      </c>
      <c r="C723" s="57"/>
      <c r="D723" s="57"/>
      <c r="E723" s="57"/>
      <c r="F723" s="57"/>
      <c r="G723" s="57"/>
      <c r="H723" s="57"/>
      <c r="I723" s="57"/>
      <c r="J723" s="57"/>
      <c r="K723" s="57"/>
      <c r="L723" s="55"/>
    </row>
    <row r="724" spans="1:12" ht="19.5" customHeight="1">
      <c r="A724" s="42"/>
      <c r="B724" s="339"/>
      <c r="C724" s="340"/>
      <c r="D724" s="340"/>
      <c r="E724" s="340"/>
      <c r="F724" s="340"/>
      <c r="G724" s="340"/>
      <c r="H724" s="340"/>
      <c r="I724" s="340"/>
      <c r="J724" s="340"/>
      <c r="K724" s="340"/>
      <c r="L724" s="341"/>
    </row>
    <row r="725" spans="1:12" ht="19.5" customHeight="1">
      <c r="A725" s="326" t="s">
        <v>97</v>
      </c>
      <c r="B725" s="345" t="s">
        <v>150</v>
      </c>
      <c r="C725" s="190">
        <v>2017</v>
      </c>
      <c r="D725" s="173">
        <f>H725</f>
        <v>16.3</v>
      </c>
      <c r="E725" s="173">
        <v>0</v>
      </c>
      <c r="F725" s="173"/>
      <c r="G725" s="173"/>
      <c r="H725" s="173">
        <v>16.3</v>
      </c>
      <c r="I725" s="71">
        <v>0</v>
      </c>
      <c r="J725" s="71">
        <v>0</v>
      </c>
      <c r="K725" s="57"/>
      <c r="L725" s="316" t="s">
        <v>150</v>
      </c>
    </row>
    <row r="726" spans="1:12" ht="19.5" customHeight="1">
      <c r="A726" s="327"/>
      <c r="B726" s="346"/>
      <c r="C726" s="64">
        <v>2018</v>
      </c>
      <c r="D726" s="181">
        <f>SUM(E726:I726)</f>
        <v>16.2</v>
      </c>
      <c r="E726" s="185">
        <v>0</v>
      </c>
      <c r="F726" s="185"/>
      <c r="G726" s="185"/>
      <c r="H726" s="181">
        <v>16.2</v>
      </c>
      <c r="I726" s="181">
        <v>0</v>
      </c>
      <c r="J726" s="181">
        <v>0</v>
      </c>
      <c r="K726" s="58"/>
      <c r="L726" s="317"/>
    </row>
    <row r="727" spans="1:12" ht="19.5" customHeight="1">
      <c r="A727" s="327"/>
      <c r="B727" s="346"/>
      <c r="C727" s="64">
        <v>2019</v>
      </c>
      <c r="D727" s="181">
        <f>F727</f>
        <v>16</v>
      </c>
      <c r="E727" s="185">
        <v>0</v>
      </c>
      <c r="F727" s="185">
        <f aca="true" t="shared" si="8" ref="F727:F734">H727</f>
        <v>16</v>
      </c>
      <c r="G727" s="185"/>
      <c r="H727" s="181">
        <v>16</v>
      </c>
      <c r="I727" s="181">
        <v>0</v>
      </c>
      <c r="J727" s="181">
        <v>0</v>
      </c>
      <c r="K727" s="58"/>
      <c r="L727" s="317"/>
    </row>
    <row r="728" spans="1:12" ht="19.5" customHeight="1">
      <c r="A728" s="327"/>
      <c r="B728" s="346"/>
      <c r="C728" s="64">
        <v>2020</v>
      </c>
      <c r="D728" s="181">
        <f>F728</f>
        <v>16.6</v>
      </c>
      <c r="E728" s="185">
        <f>F728</f>
        <v>16.6</v>
      </c>
      <c r="F728" s="185">
        <f t="shared" si="8"/>
        <v>16.6</v>
      </c>
      <c r="G728" s="185"/>
      <c r="H728" s="181">
        <v>16.6</v>
      </c>
      <c r="I728" s="181">
        <v>0</v>
      </c>
      <c r="J728" s="181">
        <v>0</v>
      </c>
      <c r="K728" s="58"/>
      <c r="L728" s="317"/>
    </row>
    <row r="729" spans="1:12" ht="19.5" customHeight="1">
      <c r="A729" s="327"/>
      <c r="B729" s="346"/>
      <c r="C729" s="64">
        <v>2021</v>
      </c>
      <c r="D729" s="181">
        <f>H729</f>
        <v>16.6</v>
      </c>
      <c r="E729" s="185">
        <f>F729</f>
        <v>16.6</v>
      </c>
      <c r="F729" s="185">
        <f t="shared" si="8"/>
        <v>16.6</v>
      </c>
      <c r="G729" s="185"/>
      <c r="H729" s="181">
        <f>16.6</f>
        <v>16.6</v>
      </c>
      <c r="I729" s="181"/>
      <c r="J729" s="181"/>
      <c r="K729" s="58"/>
      <c r="L729" s="317"/>
    </row>
    <row r="730" spans="1:12" ht="19.5" customHeight="1">
      <c r="A730" s="327"/>
      <c r="B730" s="346"/>
      <c r="C730" s="64">
        <v>2022</v>
      </c>
      <c r="D730" s="181">
        <f>H730</f>
        <v>16.6</v>
      </c>
      <c r="E730" s="185">
        <f>F730</f>
        <v>16.6</v>
      </c>
      <c r="F730" s="185">
        <f t="shared" si="8"/>
        <v>16.6</v>
      </c>
      <c r="G730" s="185"/>
      <c r="H730" s="181">
        <f>16.6</f>
        <v>16.6</v>
      </c>
      <c r="I730" s="181"/>
      <c r="J730" s="181"/>
      <c r="K730" s="58"/>
      <c r="L730" s="317"/>
    </row>
    <row r="731" spans="1:12" ht="19.5" customHeight="1">
      <c r="A731" s="328"/>
      <c r="B731" s="347"/>
      <c r="C731" s="64">
        <v>2023</v>
      </c>
      <c r="D731" s="181">
        <f>E731</f>
        <v>16.6</v>
      </c>
      <c r="E731" s="185">
        <f>E730</f>
        <v>16.6</v>
      </c>
      <c r="F731" s="185">
        <f>F730</f>
        <v>16.6</v>
      </c>
      <c r="G731" s="185"/>
      <c r="H731" s="181">
        <f>H730</f>
        <v>16.6</v>
      </c>
      <c r="I731" s="181"/>
      <c r="J731" s="181"/>
      <c r="K731" s="58"/>
      <c r="L731" s="317"/>
    </row>
    <row r="732" spans="1:12" ht="19.5" customHeight="1">
      <c r="A732" s="329" t="s">
        <v>164</v>
      </c>
      <c r="B732" s="342"/>
      <c r="C732" s="63">
        <v>2017</v>
      </c>
      <c r="D732" s="185">
        <f>H732</f>
        <v>16.3</v>
      </c>
      <c r="E732" s="185">
        <v>0</v>
      </c>
      <c r="F732" s="185">
        <f t="shared" si="8"/>
        <v>16.3</v>
      </c>
      <c r="G732" s="185"/>
      <c r="H732" s="185">
        <f>H725</f>
        <v>16.3</v>
      </c>
      <c r="I732" s="181">
        <v>0</v>
      </c>
      <c r="J732" s="181">
        <v>0</v>
      </c>
      <c r="K732" s="58"/>
      <c r="L732" s="317"/>
    </row>
    <row r="733" spans="1:12" ht="19.5" customHeight="1">
      <c r="A733" s="331"/>
      <c r="B733" s="343"/>
      <c r="C733" s="63">
        <v>2018</v>
      </c>
      <c r="D733" s="185">
        <f>E733+H733+I733</f>
        <v>16.2</v>
      </c>
      <c r="E733" s="185">
        <f>E219+E226+E629+E634+E638+E639+E651+E660+E661+E662+E675+E682+E689+E696+E703+E704+E716+E719+E726+E667</f>
        <v>0</v>
      </c>
      <c r="F733" s="185">
        <f t="shared" si="8"/>
        <v>16.2</v>
      </c>
      <c r="G733" s="185"/>
      <c r="H733" s="185">
        <f aca="true" t="shared" si="9" ref="H733:I735">H726</f>
        <v>16.2</v>
      </c>
      <c r="I733" s="185">
        <v>0</v>
      </c>
      <c r="J733" s="59">
        <v>0</v>
      </c>
      <c r="K733" s="43"/>
      <c r="L733" s="317"/>
    </row>
    <row r="734" spans="1:12" ht="19.5" customHeight="1">
      <c r="A734" s="331"/>
      <c r="B734" s="343"/>
      <c r="C734" s="63">
        <v>2019</v>
      </c>
      <c r="D734" s="185">
        <f>E734+H734+I734</f>
        <v>16</v>
      </c>
      <c r="E734" s="185">
        <f>E220+E227+E630+E635+E652+E668+E676+E683+E690+E697+E717+E722+E727</f>
        <v>0</v>
      </c>
      <c r="F734" s="185">
        <f t="shared" si="8"/>
        <v>16</v>
      </c>
      <c r="G734" s="185"/>
      <c r="H734" s="185">
        <f>16</f>
        <v>16</v>
      </c>
      <c r="I734" s="185">
        <f t="shared" si="9"/>
        <v>0</v>
      </c>
      <c r="J734" s="59">
        <v>0</v>
      </c>
      <c r="K734" s="43"/>
      <c r="L734" s="317"/>
    </row>
    <row r="735" spans="1:12" ht="19.5" customHeight="1">
      <c r="A735" s="331"/>
      <c r="B735" s="343"/>
      <c r="C735" s="63">
        <v>2020</v>
      </c>
      <c r="D735" s="185">
        <f>E735</f>
        <v>16.6</v>
      </c>
      <c r="E735" s="185">
        <f>E225+E627+E633+E637+E658+E674+E681+E688+E695+E702+E718+E723+E728</f>
        <v>16.6</v>
      </c>
      <c r="F735" s="185">
        <v>0</v>
      </c>
      <c r="G735" s="185"/>
      <c r="H735" s="185">
        <v>0</v>
      </c>
      <c r="I735" s="185">
        <f t="shared" si="9"/>
        <v>0</v>
      </c>
      <c r="J735" s="59">
        <v>0</v>
      </c>
      <c r="K735" s="43"/>
      <c r="L735" s="317"/>
    </row>
    <row r="736" spans="1:12" ht="19.5" customHeight="1">
      <c r="A736" s="331"/>
      <c r="B736" s="343"/>
      <c r="C736" s="63">
        <v>2021</v>
      </c>
      <c r="D736" s="185">
        <f>E736</f>
        <v>16.6</v>
      </c>
      <c r="E736" s="185">
        <f>E729</f>
        <v>16.6</v>
      </c>
      <c r="F736" s="185">
        <v>0</v>
      </c>
      <c r="G736" s="185"/>
      <c r="H736" s="185">
        <v>0</v>
      </c>
      <c r="I736" s="185">
        <v>0</v>
      </c>
      <c r="J736" s="59">
        <v>0</v>
      </c>
      <c r="K736" s="43"/>
      <c r="L736" s="317"/>
    </row>
    <row r="737" spans="1:12" ht="19.5" customHeight="1">
      <c r="A737" s="331"/>
      <c r="B737" s="343"/>
      <c r="C737" s="63">
        <v>2022</v>
      </c>
      <c r="D737" s="185">
        <f>E737</f>
        <v>16.6</v>
      </c>
      <c r="E737" s="185">
        <f>E730</f>
        <v>16.6</v>
      </c>
      <c r="F737" s="185">
        <v>0</v>
      </c>
      <c r="G737" s="185"/>
      <c r="H737" s="185">
        <v>0</v>
      </c>
      <c r="I737" s="185">
        <v>0</v>
      </c>
      <c r="J737" s="59">
        <v>0</v>
      </c>
      <c r="K737" s="43"/>
      <c r="L737" s="318"/>
    </row>
    <row r="738" spans="1:12" ht="19.5" customHeight="1">
      <c r="A738" s="333"/>
      <c r="B738" s="344"/>
      <c r="C738" s="63">
        <v>2023</v>
      </c>
      <c r="D738" s="185">
        <f>E738</f>
        <v>16.6</v>
      </c>
      <c r="E738" s="185">
        <f>E731</f>
        <v>16.6</v>
      </c>
      <c r="F738" s="185">
        <v>0</v>
      </c>
      <c r="G738" s="185"/>
      <c r="H738" s="185">
        <v>0</v>
      </c>
      <c r="I738" s="185"/>
      <c r="J738" s="59"/>
      <c r="K738" s="43"/>
      <c r="L738" s="183"/>
    </row>
    <row r="739" spans="1:12" ht="19.5" customHeight="1">
      <c r="A739" s="338" t="s">
        <v>57</v>
      </c>
      <c r="B739" s="338"/>
      <c r="C739" s="63">
        <v>2017</v>
      </c>
      <c r="D739" s="185">
        <f>I739+H739</f>
        <v>83485.04676000001</v>
      </c>
      <c r="E739" s="185">
        <v>0</v>
      </c>
      <c r="F739" s="185">
        <f>H739+G739</f>
        <v>9038.8</v>
      </c>
      <c r="G739" s="185"/>
      <c r="H739" s="185">
        <f>H715+H732</f>
        <v>9038.8</v>
      </c>
      <c r="I739" s="185">
        <f>I732+I715+I650+I148+I626</f>
        <v>74446.24676000001</v>
      </c>
      <c r="J739" s="59">
        <v>0</v>
      </c>
      <c r="K739" s="43"/>
      <c r="L739" s="44"/>
    </row>
    <row r="740" spans="1:12" ht="19.5" customHeight="1">
      <c r="A740" s="338"/>
      <c r="B740" s="338"/>
      <c r="C740" s="63">
        <v>2018</v>
      </c>
      <c r="D740" s="185">
        <f>E740+H740+I740+J740</f>
        <v>81020.64127</v>
      </c>
      <c r="E740" s="185">
        <f>SUM(E18+E25+E33+E40+E49+E61+E74+E81+E88+E95+E101+E111+E197+E204+E211+E225+E637+E660+E667+E674+E681+E688+E695+E702+E726)</f>
        <v>0</v>
      </c>
      <c r="F740" s="185">
        <f>G740+H740</f>
        <v>10207.418000000001</v>
      </c>
      <c r="G740" s="185"/>
      <c r="H740" s="185">
        <f>SUM(H18+H25+H33+H40+H49+H61+H74+H81+H88+H95+H101+H111+H197+H204+H211+H225+H637+H660+H667+H674+H681+H688+H695+H702+H726)</f>
        <v>10207.418000000001</v>
      </c>
      <c r="I740" s="185">
        <f>I716+I651+I627+I149</f>
        <v>64874.184519999995</v>
      </c>
      <c r="J740" s="185">
        <f>J716</f>
        <v>5939.03875</v>
      </c>
      <c r="K740" s="58"/>
      <c r="L740" s="44"/>
    </row>
    <row r="741" spans="1:12" ht="19.5" customHeight="1">
      <c r="A741" s="338"/>
      <c r="B741" s="338"/>
      <c r="C741" s="63">
        <v>2019</v>
      </c>
      <c r="D741" s="185">
        <f>H741+I741+J741</f>
        <v>89416.72404000002</v>
      </c>
      <c r="E741" s="185">
        <f>SUM(E19+E26+E34+E41+E50+E64+E75+E82+E89+E96+E104+E112+E199+E205+E212+E226+E638+E661+E668+E675+E682+E689+E696+E703+E727)</f>
        <v>0</v>
      </c>
      <c r="F741" s="185">
        <f>G741+H741</f>
        <v>10602.964000000002</v>
      </c>
      <c r="G741" s="185"/>
      <c r="H741" s="185">
        <f>H717+H734+H628</f>
        <v>10602.964000000002</v>
      </c>
      <c r="I741" s="185">
        <f>I717+I652+I628+I150</f>
        <v>68870.48911000001</v>
      </c>
      <c r="J741" s="185">
        <f>J717</f>
        <v>9943.270929999999</v>
      </c>
      <c r="K741" s="58"/>
      <c r="L741" s="46"/>
    </row>
    <row r="742" spans="1:12" ht="19.5" customHeight="1">
      <c r="A742" s="338"/>
      <c r="B742" s="338"/>
      <c r="C742" s="62">
        <v>2020</v>
      </c>
      <c r="D742" s="245">
        <f>E742+H742+I742+J742</f>
        <v>86650.26683</v>
      </c>
      <c r="E742" s="245">
        <f>SUM(E20+E27+E35+E42+E52+E67+E76+E83+E90+E97+E106+E121+E206+E213+E227+E639+E662+E669+E676+E683+E690+E697+E704+E728)</f>
        <v>16.6</v>
      </c>
      <c r="F742" s="245">
        <f>H742+G742</f>
        <v>11163.9</v>
      </c>
      <c r="G742" s="245"/>
      <c r="H742" s="245">
        <f>H718+H735</f>
        <v>11163.9</v>
      </c>
      <c r="I742" s="245">
        <f>I718+I653+I629+I151</f>
        <v>69588.11158</v>
      </c>
      <c r="J742" s="245">
        <f>J718</f>
        <v>5881.65525</v>
      </c>
      <c r="K742" s="58"/>
      <c r="L742" s="46"/>
    </row>
    <row r="743" spans="1:12" ht="19.5" customHeight="1">
      <c r="A743" s="338"/>
      <c r="B743" s="338"/>
      <c r="C743" s="63">
        <v>2021</v>
      </c>
      <c r="D743" s="185">
        <f>E743+H743+I743+J743</f>
        <v>64827.617</v>
      </c>
      <c r="E743" s="185">
        <f>E736</f>
        <v>16.6</v>
      </c>
      <c r="F743" s="185">
        <f>H743</f>
        <v>10757</v>
      </c>
      <c r="G743" s="185"/>
      <c r="H743" s="185">
        <f>H736+H719</f>
        <v>10757</v>
      </c>
      <c r="I743" s="185">
        <f>I736+I719+I654+I630+I152</f>
        <v>45084.017</v>
      </c>
      <c r="J743" s="185">
        <f>J736+J719</f>
        <v>8970</v>
      </c>
      <c r="K743" s="58"/>
      <c r="L743" s="46"/>
    </row>
    <row r="744" spans="1:12" ht="19.5" customHeight="1">
      <c r="A744" s="338"/>
      <c r="B744" s="338"/>
      <c r="C744" s="63">
        <v>2022</v>
      </c>
      <c r="D744" s="185">
        <f>E744+H744+I744+J744</f>
        <v>61362.507</v>
      </c>
      <c r="E744" s="185">
        <f>E743</f>
        <v>16.6</v>
      </c>
      <c r="F744" s="185">
        <f>H744+G744</f>
        <v>10757</v>
      </c>
      <c r="G744" s="185">
        <f>G655</f>
        <v>0</v>
      </c>
      <c r="H744" s="185">
        <f>H720+H737</f>
        <v>10757</v>
      </c>
      <c r="I744" s="185">
        <f>I720+I655+I631+I153</f>
        <v>41618.907</v>
      </c>
      <c r="J744" s="185">
        <f>J720</f>
        <v>8970</v>
      </c>
      <c r="K744" s="58"/>
      <c r="L744" s="46"/>
    </row>
    <row r="745" spans="1:12" ht="19.5" customHeight="1">
      <c r="A745" s="338"/>
      <c r="B745" s="338"/>
      <c r="C745" s="63">
        <v>2023</v>
      </c>
      <c r="D745" s="185">
        <f>E745+G745+H745+I745+J745</f>
        <v>66091.487</v>
      </c>
      <c r="E745" s="185">
        <f>E744</f>
        <v>16.6</v>
      </c>
      <c r="F745" s="185">
        <f>H745+G745</f>
        <v>15439.4</v>
      </c>
      <c r="G745" s="185">
        <f>G632</f>
        <v>4682.4</v>
      </c>
      <c r="H745" s="185">
        <f>H721+H738</f>
        <v>10757</v>
      </c>
      <c r="I745" s="185">
        <f>I721+I656+I154+I632</f>
        <v>41665.487</v>
      </c>
      <c r="J745" s="185">
        <f>J665+J672+J679+J686+J693+J700+J707</f>
        <v>8970</v>
      </c>
      <c r="K745" s="58"/>
      <c r="L745" s="46"/>
    </row>
    <row r="746" spans="1:12" ht="19.5" customHeight="1">
      <c r="A746" s="338"/>
      <c r="B746" s="338"/>
      <c r="C746" s="63" t="s">
        <v>373</v>
      </c>
      <c r="D746" s="185">
        <f>SUM(D739:D745)</f>
        <v>532854.2899</v>
      </c>
      <c r="E746" s="185">
        <f>SUM(E739:E745)</f>
        <v>66.4</v>
      </c>
      <c r="F746" s="185">
        <f>G746+H746</f>
        <v>77966.48199999999</v>
      </c>
      <c r="G746" s="185">
        <f>G744+G745</f>
        <v>4682.4</v>
      </c>
      <c r="H746" s="185">
        <f>SUM(H739:H745)</f>
        <v>73284.082</v>
      </c>
      <c r="I746" s="185">
        <f>SUM(I739:I745)</f>
        <v>406147.44297000003</v>
      </c>
      <c r="J746" s="185">
        <f>SUM(J739:J745)</f>
        <v>48673.96493</v>
      </c>
      <c r="K746" s="58"/>
      <c r="L746" s="46"/>
    </row>
    <row r="747" spans="1:12" ht="19.5" customHeight="1">
      <c r="A747" s="88"/>
      <c r="B747" s="88"/>
      <c r="C747" s="60"/>
      <c r="D747" s="60"/>
      <c r="E747" s="60"/>
      <c r="F747" s="60"/>
      <c r="G747" s="60"/>
      <c r="H747" s="60"/>
      <c r="I747" s="60"/>
      <c r="J747" s="60"/>
      <c r="K747" s="60"/>
      <c r="L747" s="46"/>
    </row>
    <row r="748" spans="1:12" ht="19.5" customHeight="1">
      <c r="A748" s="154"/>
      <c r="B748" s="154"/>
      <c r="C748" s="203"/>
      <c r="D748" s="155"/>
      <c r="E748" s="76"/>
      <c r="F748" s="76"/>
      <c r="G748" s="76" t="s">
        <v>37</v>
      </c>
      <c r="H748" s="156"/>
      <c r="I748" s="76"/>
      <c r="J748" s="76"/>
      <c r="K748" s="76"/>
      <c r="L748" s="76"/>
    </row>
    <row r="749" spans="1:12" ht="19.5" customHeight="1">
      <c r="A749" s="76"/>
      <c r="B749" s="76"/>
      <c r="C749" s="76"/>
      <c r="D749" s="157"/>
      <c r="E749" s="157"/>
      <c r="F749" s="157"/>
      <c r="G749" s="76"/>
      <c r="H749" s="156"/>
      <c r="I749" s="76"/>
      <c r="J749" s="76"/>
      <c r="K749" s="76"/>
      <c r="L749" s="76"/>
    </row>
    <row r="750" spans="1:12" ht="19.5" customHeight="1">
      <c r="A750" s="76"/>
      <c r="B750" s="76"/>
      <c r="C750" s="76"/>
      <c r="D750" s="157"/>
      <c r="E750" s="76"/>
      <c r="F750" s="76"/>
      <c r="G750" s="76"/>
      <c r="H750" s="156"/>
      <c r="I750" s="76"/>
      <c r="J750" s="76"/>
      <c r="K750" s="76"/>
      <c r="L750" s="76"/>
    </row>
    <row r="751" spans="1:12" ht="19.5" customHeight="1">
      <c r="A751" s="76"/>
      <c r="B751" s="76"/>
      <c r="C751" s="76"/>
      <c r="D751" s="157"/>
      <c r="E751" s="76"/>
      <c r="F751" s="76"/>
      <c r="G751" s="76"/>
      <c r="H751" s="156"/>
      <c r="I751" s="76"/>
      <c r="J751" s="76"/>
      <c r="K751" s="76"/>
      <c r="L751" s="76"/>
    </row>
    <row r="752" spans="1:12" ht="19.5" customHeight="1">
      <c r="A752" s="76"/>
      <c r="B752" s="76"/>
      <c r="C752" s="76"/>
      <c r="D752" s="157"/>
      <c r="E752" s="76"/>
      <c r="F752" s="76"/>
      <c r="G752" s="76"/>
      <c r="H752" s="156"/>
      <c r="I752" s="76"/>
      <c r="J752" s="76"/>
      <c r="K752" s="76"/>
      <c r="L752" s="76"/>
    </row>
    <row r="753" spans="1:12" ht="19.5" customHeight="1">
      <c r="A753" s="76"/>
      <c r="B753" s="76"/>
      <c r="C753" s="76"/>
      <c r="D753" s="155"/>
      <c r="E753" s="76"/>
      <c r="F753" s="76"/>
      <c r="G753" s="76"/>
      <c r="H753" s="156"/>
      <c r="I753" s="76"/>
      <c r="J753" s="76"/>
      <c r="K753" s="76"/>
      <c r="L753" s="76"/>
    </row>
    <row r="754" spans="1:12" ht="14.25">
      <c r="A754" s="76"/>
      <c r="B754" s="76"/>
      <c r="C754" s="76"/>
      <c r="D754" s="155"/>
      <c r="E754" s="76"/>
      <c r="F754" s="76"/>
      <c r="G754" s="76"/>
      <c r="H754" s="156"/>
      <c r="I754" s="76"/>
      <c r="J754" s="76"/>
      <c r="K754" s="76"/>
      <c r="L754" s="76"/>
    </row>
    <row r="755" spans="1:12" ht="14.25">
      <c r="A755" s="76"/>
      <c r="B755" s="76"/>
      <c r="C755" s="76"/>
      <c r="D755" s="155"/>
      <c r="E755" s="76"/>
      <c r="F755" s="76"/>
      <c r="G755" s="76"/>
      <c r="H755" s="156"/>
      <c r="I755" s="76"/>
      <c r="J755" s="76"/>
      <c r="K755" s="76"/>
      <c r="L755" s="76"/>
    </row>
    <row r="756" spans="1:12" ht="14.25">
      <c r="A756" s="76"/>
      <c r="B756" s="76"/>
      <c r="C756" s="76"/>
      <c r="D756" s="155"/>
      <c r="E756" s="76"/>
      <c r="F756" s="76"/>
      <c r="G756" s="76"/>
      <c r="H756" s="156"/>
      <c r="I756" s="76"/>
      <c r="J756" s="76"/>
      <c r="K756" s="76"/>
      <c r="L756" s="76"/>
    </row>
    <row r="757" spans="1:12" ht="14.25">
      <c r="A757" s="76"/>
      <c r="B757" s="76"/>
      <c r="C757" s="76"/>
      <c r="D757" s="155"/>
      <c r="E757" s="76"/>
      <c r="F757" s="76"/>
      <c r="G757" s="76"/>
      <c r="H757" s="156"/>
      <c r="I757" s="76"/>
      <c r="J757" s="76"/>
      <c r="K757" s="76"/>
      <c r="L757" s="76"/>
    </row>
    <row r="758" spans="1:12" ht="14.25">
      <c r="A758" s="76"/>
      <c r="B758" s="76"/>
      <c r="C758" s="76"/>
      <c r="D758" s="155"/>
      <c r="E758" s="76"/>
      <c r="F758" s="76"/>
      <c r="G758" s="76"/>
      <c r="H758" s="156"/>
      <c r="I758" s="76"/>
      <c r="J758" s="76"/>
      <c r="K758" s="76"/>
      <c r="L758" s="76"/>
    </row>
    <row r="759" spans="1:12" ht="14.25">
      <c r="A759" s="76"/>
      <c r="B759" s="76"/>
      <c r="C759" s="76"/>
      <c r="D759" s="155"/>
      <c r="E759" s="76"/>
      <c r="F759" s="76"/>
      <c r="G759" s="76"/>
      <c r="H759" s="156"/>
      <c r="I759" s="76"/>
      <c r="J759" s="76"/>
      <c r="K759" s="76"/>
      <c r="L759" s="76"/>
    </row>
    <row r="760" spans="1:12" ht="14.25">
      <c r="A760" s="76"/>
      <c r="B760" s="76"/>
      <c r="C760" s="76"/>
      <c r="D760" s="155"/>
      <c r="E760" s="76"/>
      <c r="F760" s="76"/>
      <c r="G760" s="76"/>
      <c r="H760" s="156"/>
      <c r="I760" s="76"/>
      <c r="J760" s="76"/>
      <c r="K760" s="76"/>
      <c r="L760" s="76"/>
    </row>
    <row r="761" spans="1:12" ht="14.25">
      <c r="A761" s="76"/>
      <c r="B761" s="76"/>
      <c r="C761" s="76"/>
      <c r="D761" s="155"/>
      <c r="E761" s="76"/>
      <c r="F761" s="76"/>
      <c r="G761" s="76"/>
      <c r="H761" s="156"/>
      <c r="I761" s="76"/>
      <c r="J761" s="76"/>
      <c r="K761" s="76"/>
      <c r="L761" s="76"/>
    </row>
    <row r="762" spans="1:12" ht="14.25">
      <c r="A762" s="76"/>
      <c r="B762" s="76"/>
      <c r="C762" s="76"/>
      <c r="D762" s="155"/>
      <c r="E762" s="76"/>
      <c r="F762" s="76"/>
      <c r="G762" s="76"/>
      <c r="H762" s="156"/>
      <c r="I762" s="76"/>
      <c r="J762" s="76"/>
      <c r="K762" s="76"/>
      <c r="L762" s="76"/>
    </row>
    <row r="763" spans="1:12" ht="14.25">
      <c r="A763" s="76"/>
      <c r="B763" s="76"/>
      <c r="C763" s="76"/>
      <c r="D763" s="155"/>
      <c r="E763" s="76"/>
      <c r="F763" s="76"/>
      <c r="G763" s="76"/>
      <c r="H763" s="156"/>
      <c r="I763" s="76"/>
      <c r="J763" s="76"/>
      <c r="K763" s="76"/>
      <c r="L763" s="76"/>
    </row>
    <row r="764" spans="1:12" ht="14.25">
      <c r="A764" s="76"/>
      <c r="B764" s="76"/>
      <c r="C764" s="76"/>
      <c r="D764" s="155"/>
      <c r="E764" s="76"/>
      <c r="F764" s="76"/>
      <c r="G764" s="76"/>
      <c r="H764" s="156"/>
      <c r="I764" s="76"/>
      <c r="J764" s="76"/>
      <c r="K764" s="76"/>
      <c r="L764" s="76"/>
    </row>
    <row r="765" spans="1:12" ht="14.25">
      <c r="A765" s="76"/>
      <c r="B765" s="76"/>
      <c r="C765" s="76"/>
      <c r="D765" s="155"/>
      <c r="E765" s="76"/>
      <c r="F765" s="76"/>
      <c r="G765" s="76"/>
      <c r="H765" s="156"/>
      <c r="I765" s="76"/>
      <c r="J765" s="76"/>
      <c r="K765" s="76"/>
      <c r="L765" s="76"/>
    </row>
    <row r="766" spans="1:12" ht="14.25">
      <c r="A766" s="76"/>
      <c r="B766" s="76"/>
      <c r="C766" s="76"/>
      <c r="D766" s="155"/>
      <c r="E766" s="76"/>
      <c r="F766" s="76"/>
      <c r="G766" s="76"/>
      <c r="H766" s="156"/>
      <c r="I766" s="76"/>
      <c r="J766" s="76"/>
      <c r="K766" s="76"/>
      <c r="L766" s="76"/>
    </row>
    <row r="767" spans="1:12" ht="14.25">
      <c r="A767" s="76"/>
      <c r="B767" s="76"/>
      <c r="C767" s="76"/>
      <c r="D767" s="155"/>
      <c r="E767" s="76"/>
      <c r="F767" s="76"/>
      <c r="G767" s="76"/>
      <c r="H767" s="156"/>
      <c r="I767" s="76"/>
      <c r="J767" s="76"/>
      <c r="K767" s="76"/>
      <c r="L767" s="76"/>
    </row>
    <row r="768" spans="1:12" ht="14.25">
      <c r="A768" s="76"/>
      <c r="B768" s="76"/>
      <c r="C768" s="76"/>
      <c r="D768" s="155"/>
      <c r="E768" s="76"/>
      <c r="F768" s="76"/>
      <c r="G768" s="76"/>
      <c r="H768" s="156"/>
      <c r="I768" s="76"/>
      <c r="J768" s="76"/>
      <c r="K768" s="76"/>
      <c r="L768" s="76"/>
    </row>
    <row r="769" spans="1:12" ht="14.25">
      <c r="A769" s="76"/>
      <c r="B769" s="76"/>
      <c r="C769" s="76"/>
      <c r="D769" s="155"/>
      <c r="E769" s="76"/>
      <c r="F769" s="76"/>
      <c r="G769" s="76"/>
      <c r="H769" s="156"/>
      <c r="I769" s="76"/>
      <c r="J769" s="76"/>
      <c r="K769" s="76"/>
      <c r="L769" s="76"/>
    </row>
    <row r="770" spans="1:12" ht="14.25">
      <c r="A770" s="76"/>
      <c r="B770" s="76"/>
      <c r="C770" s="76"/>
      <c r="D770" s="155"/>
      <c r="E770" s="76"/>
      <c r="F770" s="76"/>
      <c r="G770" s="76"/>
      <c r="H770" s="156"/>
      <c r="I770" s="76"/>
      <c r="J770" s="76"/>
      <c r="K770" s="76"/>
      <c r="L770" s="76"/>
    </row>
    <row r="771" spans="1:12" ht="14.25">
      <c r="A771" s="76"/>
      <c r="B771" s="76"/>
      <c r="C771" s="76"/>
      <c r="D771" s="155"/>
      <c r="E771" s="76"/>
      <c r="F771" s="76"/>
      <c r="G771" s="76"/>
      <c r="H771" s="156"/>
      <c r="I771" s="76"/>
      <c r="J771" s="76"/>
      <c r="K771" s="76"/>
      <c r="L771" s="76"/>
    </row>
    <row r="772" spans="1:12" ht="14.25">
      <c r="A772" s="76"/>
      <c r="B772" s="76"/>
      <c r="C772" s="76"/>
      <c r="D772" s="155"/>
      <c r="E772" s="76"/>
      <c r="F772" s="76"/>
      <c r="G772" s="76"/>
      <c r="H772" s="156"/>
      <c r="I772" s="76"/>
      <c r="J772" s="76"/>
      <c r="K772" s="76"/>
      <c r="L772" s="76"/>
    </row>
    <row r="773" spans="1:12" ht="14.25">
      <c r="A773" s="76"/>
      <c r="B773" s="76"/>
      <c r="C773" s="76"/>
      <c r="D773" s="155"/>
      <c r="E773" s="76"/>
      <c r="F773" s="76"/>
      <c r="G773" s="76"/>
      <c r="H773" s="156"/>
      <c r="I773" s="76"/>
      <c r="J773" s="76"/>
      <c r="K773" s="76"/>
      <c r="L773" s="76"/>
    </row>
    <row r="774" spans="1:12" ht="14.25">
      <c r="A774" s="76"/>
      <c r="B774" s="76"/>
      <c r="C774" s="76"/>
      <c r="D774" s="155"/>
      <c r="E774" s="76"/>
      <c r="F774" s="76"/>
      <c r="G774" s="76"/>
      <c r="H774" s="156"/>
      <c r="I774" s="76"/>
      <c r="J774" s="76"/>
      <c r="K774" s="76"/>
      <c r="L774" s="76"/>
    </row>
    <row r="775" spans="1:12" ht="14.25">
      <c r="A775" s="76"/>
      <c r="B775" s="76"/>
      <c r="C775" s="76"/>
      <c r="D775" s="155"/>
      <c r="E775" s="76"/>
      <c r="F775" s="76"/>
      <c r="G775" s="76"/>
      <c r="H775" s="156"/>
      <c r="I775" s="76"/>
      <c r="J775" s="76"/>
      <c r="K775" s="76"/>
      <c r="L775" s="76"/>
    </row>
    <row r="776" spans="1:12" ht="14.25">
      <c r="A776" s="76"/>
      <c r="B776" s="76"/>
      <c r="C776" s="76"/>
      <c r="D776" s="155"/>
      <c r="E776" s="76"/>
      <c r="F776" s="76"/>
      <c r="G776" s="76"/>
      <c r="H776" s="156"/>
      <c r="I776" s="76"/>
      <c r="J776" s="76"/>
      <c r="K776" s="76"/>
      <c r="L776" s="76"/>
    </row>
    <row r="777" spans="1:12" ht="14.25">
      <c r="A777" s="76"/>
      <c r="B777" s="76"/>
      <c r="C777" s="76"/>
      <c r="D777" s="155"/>
      <c r="E777" s="76"/>
      <c r="F777" s="76"/>
      <c r="G777" s="76"/>
      <c r="H777" s="156"/>
      <c r="I777" s="76"/>
      <c r="J777" s="76"/>
      <c r="K777" s="76"/>
      <c r="L777" s="76"/>
    </row>
    <row r="778" spans="1:12" ht="14.25">
      <c r="A778" s="76"/>
      <c r="B778" s="76"/>
      <c r="C778" s="76"/>
      <c r="D778" s="155"/>
      <c r="E778" s="76"/>
      <c r="F778" s="76"/>
      <c r="G778" s="76"/>
      <c r="H778" s="156"/>
      <c r="I778" s="76"/>
      <c r="J778" s="76"/>
      <c r="K778" s="76"/>
      <c r="L778" s="76"/>
    </row>
    <row r="779" spans="1:12" ht="14.25">
      <c r="A779" s="76"/>
      <c r="B779" s="76"/>
      <c r="C779" s="76"/>
      <c r="D779" s="155"/>
      <c r="E779" s="76"/>
      <c r="F779" s="76"/>
      <c r="G779" s="76"/>
      <c r="H779" s="156"/>
      <c r="I779" s="76"/>
      <c r="J779" s="76"/>
      <c r="K779" s="76"/>
      <c r="L779" s="76"/>
    </row>
    <row r="780" spans="1:12" ht="14.25">
      <c r="A780" s="76"/>
      <c r="B780" s="76"/>
      <c r="C780" s="76"/>
      <c r="D780" s="155"/>
      <c r="E780" s="76"/>
      <c r="F780" s="76"/>
      <c r="G780" s="76"/>
      <c r="H780" s="156"/>
      <c r="I780" s="76"/>
      <c r="J780" s="76"/>
      <c r="K780" s="76"/>
      <c r="L780" s="76"/>
    </row>
    <row r="781" spans="1:12" ht="14.25">
      <c r="A781" s="76"/>
      <c r="B781" s="76"/>
      <c r="C781" s="76"/>
      <c r="D781" s="155"/>
      <c r="E781" s="76"/>
      <c r="F781" s="76"/>
      <c r="G781" s="76"/>
      <c r="H781" s="156"/>
      <c r="I781" s="76"/>
      <c r="J781" s="76"/>
      <c r="K781" s="76"/>
      <c r="L781" s="76"/>
    </row>
    <row r="782" spans="1:12" ht="14.25">
      <c r="A782" s="76"/>
      <c r="B782" s="76"/>
      <c r="C782" s="76"/>
      <c r="D782" s="155"/>
      <c r="E782" s="76"/>
      <c r="F782" s="76"/>
      <c r="G782" s="76"/>
      <c r="H782" s="156"/>
      <c r="I782" s="76"/>
      <c r="J782" s="76"/>
      <c r="K782" s="76"/>
      <c r="L782" s="76"/>
    </row>
    <row r="783" spans="1:12" ht="14.25">
      <c r="A783" s="76"/>
      <c r="B783" s="76"/>
      <c r="C783" s="76"/>
      <c r="D783" s="155"/>
      <c r="E783" s="76"/>
      <c r="F783" s="76"/>
      <c r="G783" s="76"/>
      <c r="H783" s="156"/>
      <c r="I783" s="76"/>
      <c r="J783" s="76"/>
      <c r="K783" s="76"/>
      <c r="L783" s="76"/>
    </row>
    <row r="784" spans="1:12" ht="14.25">
      <c r="A784" s="76"/>
      <c r="B784" s="76"/>
      <c r="C784" s="76"/>
      <c r="D784" s="155"/>
      <c r="E784" s="76"/>
      <c r="F784" s="76"/>
      <c r="G784" s="76"/>
      <c r="H784" s="156"/>
      <c r="I784" s="76"/>
      <c r="J784" s="76"/>
      <c r="K784" s="76"/>
      <c r="L784" s="76"/>
    </row>
    <row r="785" spans="1:12" ht="14.25">
      <c r="A785" s="76"/>
      <c r="B785" s="76"/>
      <c r="C785" s="76"/>
      <c r="D785" s="155"/>
      <c r="E785" s="76"/>
      <c r="F785" s="76"/>
      <c r="G785" s="76"/>
      <c r="H785" s="156"/>
      <c r="I785" s="76"/>
      <c r="J785" s="76"/>
      <c r="K785" s="76"/>
      <c r="L785" s="76"/>
    </row>
    <row r="786" spans="1:12" ht="14.25">
      <c r="A786" s="76"/>
      <c r="B786" s="76"/>
      <c r="C786" s="76"/>
      <c r="D786" s="155"/>
      <c r="E786" s="76"/>
      <c r="F786" s="76"/>
      <c r="G786" s="76"/>
      <c r="H786" s="156"/>
      <c r="I786" s="76"/>
      <c r="J786" s="76"/>
      <c r="K786" s="76"/>
      <c r="L786" s="76"/>
    </row>
    <row r="787" spans="1:12" ht="14.25">
      <c r="A787" s="76"/>
      <c r="B787" s="76"/>
      <c r="C787" s="76"/>
      <c r="D787" s="155"/>
      <c r="E787" s="76"/>
      <c r="F787" s="76"/>
      <c r="G787" s="76"/>
      <c r="H787" s="156"/>
      <c r="I787" s="76"/>
      <c r="J787" s="76"/>
      <c r="K787" s="76"/>
      <c r="L787" s="76"/>
    </row>
    <row r="788" spans="1:12" ht="14.25">
      <c r="A788" s="76"/>
      <c r="B788" s="76"/>
      <c r="C788" s="76"/>
      <c r="D788" s="155"/>
      <c r="E788" s="76"/>
      <c r="F788" s="76"/>
      <c r="G788" s="76"/>
      <c r="H788" s="156"/>
      <c r="I788" s="76"/>
      <c r="J788" s="76"/>
      <c r="K788" s="76"/>
      <c r="L788" s="76"/>
    </row>
    <row r="789" spans="1:12" ht="14.25">
      <c r="A789" s="76"/>
      <c r="B789" s="76"/>
      <c r="C789" s="76"/>
      <c r="D789" s="155"/>
      <c r="E789" s="76"/>
      <c r="F789" s="76"/>
      <c r="G789" s="76"/>
      <c r="H789" s="156"/>
      <c r="I789" s="76"/>
      <c r="J789" s="76"/>
      <c r="K789" s="76"/>
      <c r="L789" s="76"/>
    </row>
    <row r="790" spans="1:12" ht="14.25">
      <c r="A790" s="76"/>
      <c r="B790" s="76"/>
      <c r="C790" s="76"/>
      <c r="D790" s="155"/>
      <c r="E790" s="76"/>
      <c r="F790" s="76"/>
      <c r="G790" s="76"/>
      <c r="H790" s="156"/>
      <c r="I790" s="76"/>
      <c r="J790" s="76"/>
      <c r="K790" s="76"/>
      <c r="L790" s="76"/>
    </row>
    <row r="791" spans="1:12" ht="14.25">
      <c r="A791" s="76"/>
      <c r="B791" s="76"/>
      <c r="C791" s="76"/>
      <c r="D791" s="155"/>
      <c r="E791" s="76"/>
      <c r="F791" s="76"/>
      <c r="G791" s="76"/>
      <c r="H791" s="156"/>
      <c r="I791" s="76"/>
      <c r="J791" s="76"/>
      <c r="K791" s="76"/>
      <c r="L791" s="76"/>
    </row>
    <row r="792" spans="1:12" ht="14.25">
      <c r="A792" s="76"/>
      <c r="B792" s="76"/>
      <c r="C792" s="76"/>
      <c r="D792" s="155"/>
      <c r="E792" s="76"/>
      <c r="F792" s="76"/>
      <c r="G792" s="76"/>
      <c r="H792" s="156"/>
      <c r="I792" s="76"/>
      <c r="J792" s="76"/>
      <c r="K792" s="76"/>
      <c r="L792" s="76"/>
    </row>
    <row r="793" spans="1:12" ht="14.25">
      <c r="A793" s="76"/>
      <c r="B793" s="76"/>
      <c r="C793" s="76"/>
      <c r="D793" s="155"/>
      <c r="E793" s="76"/>
      <c r="F793" s="76"/>
      <c r="G793" s="76"/>
      <c r="H793" s="156"/>
      <c r="I793" s="76"/>
      <c r="J793" s="76"/>
      <c r="K793" s="76"/>
      <c r="L793" s="76"/>
    </row>
    <row r="794" spans="1:12" ht="14.25">
      <c r="A794" s="76"/>
      <c r="B794" s="76"/>
      <c r="C794" s="76"/>
      <c r="D794" s="155"/>
      <c r="E794" s="76"/>
      <c r="F794" s="76"/>
      <c r="G794" s="76"/>
      <c r="H794" s="156"/>
      <c r="I794" s="76"/>
      <c r="J794" s="76"/>
      <c r="K794" s="76"/>
      <c r="L794" s="76"/>
    </row>
    <row r="795" spans="1:12" ht="14.25">
      <c r="A795" s="76"/>
      <c r="B795" s="76"/>
      <c r="C795" s="76"/>
      <c r="D795" s="155"/>
      <c r="E795" s="76"/>
      <c r="F795" s="76"/>
      <c r="G795" s="76"/>
      <c r="H795" s="156"/>
      <c r="I795" s="76"/>
      <c r="J795" s="76"/>
      <c r="K795" s="76"/>
      <c r="L795" s="76"/>
    </row>
    <row r="796" spans="1:12" ht="14.25">
      <c r="A796" s="76"/>
      <c r="B796" s="76"/>
      <c r="C796" s="76"/>
      <c r="D796" s="155"/>
      <c r="E796" s="76"/>
      <c r="F796" s="76"/>
      <c r="G796" s="76"/>
      <c r="H796" s="156"/>
      <c r="I796" s="76"/>
      <c r="J796" s="76"/>
      <c r="K796" s="76"/>
      <c r="L796" s="76"/>
    </row>
    <row r="797" spans="1:12" ht="14.25">
      <c r="A797" s="76"/>
      <c r="B797" s="76"/>
      <c r="C797" s="76"/>
      <c r="D797" s="155"/>
      <c r="E797" s="76"/>
      <c r="F797" s="76"/>
      <c r="G797" s="76"/>
      <c r="H797" s="156"/>
      <c r="I797" s="76"/>
      <c r="J797" s="76"/>
      <c r="K797" s="76"/>
      <c r="L797" s="76"/>
    </row>
    <row r="798" spans="1:12" ht="14.25">
      <c r="A798" s="76"/>
      <c r="B798" s="76"/>
      <c r="C798" s="76"/>
      <c r="D798" s="155"/>
      <c r="E798" s="76"/>
      <c r="F798" s="76"/>
      <c r="G798" s="76"/>
      <c r="H798" s="156"/>
      <c r="I798" s="76"/>
      <c r="J798" s="76"/>
      <c r="K798" s="76"/>
      <c r="L798" s="76"/>
    </row>
    <row r="799" spans="1:12" ht="14.25">
      <c r="A799" s="76"/>
      <c r="B799" s="76"/>
      <c r="C799" s="76"/>
      <c r="D799" s="155"/>
      <c r="E799" s="76"/>
      <c r="F799" s="76"/>
      <c r="G799" s="76"/>
      <c r="H799" s="156"/>
      <c r="I799" s="76"/>
      <c r="J799" s="76"/>
      <c r="K799" s="76"/>
      <c r="L799" s="76"/>
    </row>
    <row r="800" spans="1:12" ht="14.25">
      <c r="A800" s="76"/>
      <c r="B800" s="76"/>
      <c r="C800" s="76"/>
      <c r="D800" s="155"/>
      <c r="E800" s="76"/>
      <c r="F800" s="76"/>
      <c r="G800" s="76"/>
      <c r="H800" s="156"/>
      <c r="I800" s="76"/>
      <c r="J800" s="76"/>
      <c r="K800" s="76"/>
      <c r="L800" s="76"/>
    </row>
    <row r="801" spans="1:12" ht="14.25">
      <c r="A801" s="76"/>
      <c r="B801" s="76"/>
      <c r="C801" s="76"/>
      <c r="D801" s="155"/>
      <c r="E801" s="76"/>
      <c r="F801" s="76"/>
      <c r="G801" s="76"/>
      <c r="H801" s="156"/>
      <c r="I801" s="76"/>
      <c r="J801" s="76"/>
      <c r="K801" s="76"/>
      <c r="L801" s="76"/>
    </row>
    <row r="802" spans="1:12" ht="14.25">
      <c r="A802" s="76"/>
      <c r="B802" s="76"/>
      <c r="C802" s="76"/>
      <c r="D802" s="155"/>
      <c r="E802" s="76"/>
      <c r="F802" s="76"/>
      <c r="G802" s="76"/>
      <c r="H802" s="156"/>
      <c r="I802" s="76"/>
      <c r="J802" s="76"/>
      <c r="K802" s="76"/>
      <c r="L802" s="76"/>
    </row>
    <row r="803" spans="1:12" ht="14.25">
      <c r="A803" s="76"/>
      <c r="B803" s="76"/>
      <c r="C803" s="76"/>
      <c r="D803" s="155"/>
      <c r="E803" s="76"/>
      <c r="F803" s="76"/>
      <c r="G803" s="76"/>
      <c r="H803" s="156"/>
      <c r="I803" s="76"/>
      <c r="J803" s="76"/>
      <c r="K803" s="76"/>
      <c r="L803" s="76"/>
    </row>
    <row r="804" spans="1:12" ht="14.25">
      <c r="A804" s="76"/>
      <c r="B804" s="76"/>
      <c r="C804" s="76"/>
      <c r="D804" s="155"/>
      <c r="E804" s="76"/>
      <c r="F804" s="76"/>
      <c r="G804" s="76"/>
      <c r="H804" s="156"/>
      <c r="I804" s="76"/>
      <c r="J804" s="76"/>
      <c r="K804" s="76"/>
      <c r="L804" s="76"/>
    </row>
    <row r="805" spans="1:12" ht="14.25">
      <c r="A805" s="76"/>
      <c r="B805" s="76"/>
      <c r="C805" s="76"/>
      <c r="D805" s="155"/>
      <c r="E805" s="76"/>
      <c r="F805" s="76"/>
      <c r="G805" s="76"/>
      <c r="H805" s="156"/>
      <c r="I805" s="76"/>
      <c r="J805" s="76"/>
      <c r="K805" s="76"/>
      <c r="L805" s="76"/>
    </row>
    <row r="806" spans="1:12" ht="14.25">
      <c r="A806" s="76"/>
      <c r="B806" s="76"/>
      <c r="C806" s="76"/>
      <c r="D806" s="155"/>
      <c r="E806" s="76"/>
      <c r="F806" s="76"/>
      <c r="G806" s="76"/>
      <c r="H806" s="156"/>
      <c r="I806" s="76"/>
      <c r="J806" s="76"/>
      <c r="K806" s="76"/>
      <c r="L806" s="76"/>
    </row>
    <row r="807" spans="1:12" ht="14.25">
      <c r="A807" s="76"/>
      <c r="B807" s="76"/>
      <c r="C807" s="76"/>
      <c r="D807" s="155"/>
      <c r="E807" s="76"/>
      <c r="F807" s="76"/>
      <c r="G807" s="76"/>
      <c r="H807" s="156"/>
      <c r="I807" s="76"/>
      <c r="J807" s="76"/>
      <c r="K807" s="76"/>
      <c r="L807" s="76"/>
    </row>
    <row r="808" spans="1:12" ht="14.25">
      <c r="A808" s="76"/>
      <c r="B808" s="76"/>
      <c r="C808" s="76"/>
      <c r="D808" s="155"/>
      <c r="E808" s="76"/>
      <c r="F808" s="76"/>
      <c r="G808" s="76"/>
      <c r="H808" s="156"/>
      <c r="I808" s="76"/>
      <c r="J808" s="76"/>
      <c r="K808" s="76"/>
      <c r="L808" s="76"/>
    </row>
    <row r="809" spans="1:12" ht="14.25">
      <c r="A809" s="76"/>
      <c r="B809" s="76"/>
      <c r="C809" s="76"/>
      <c r="D809" s="155"/>
      <c r="E809" s="76"/>
      <c r="F809" s="76"/>
      <c r="G809" s="76"/>
      <c r="H809" s="156"/>
      <c r="I809" s="76"/>
      <c r="J809" s="76"/>
      <c r="K809" s="76"/>
      <c r="L809" s="76"/>
    </row>
    <row r="810" spans="1:12" ht="14.25">
      <c r="A810" s="76"/>
      <c r="B810" s="76"/>
      <c r="C810" s="76"/>
      <c r="D810" s="155"/>
      <c r="E810" s="76"/>
      <c r="F810" s="76"/>
      <c r="G810" s="76"/>
      <c r="H810" s="156"/>
      <c r="I810" s="76"/>
      <c r="J810" s="76"/>
      <c r="K810" s="76"/>
      <c r="L810" s="76"/>
    </row>
    <row r="811" spans="1:12" ht="14.25">
      <c r="A811" s="76"/>
      <c r="B811" s="76"/>
      <c r="C811" s="76"/>
      <c r="D811" s="155"/>
      <c r="E811" s="76"/>
      <c r="F811" s="76"/>
      <c r="G811" s="76"/>
      <c r="H811" s="156"/>
      <c r="I811" s="76"/>
      <c r="J811" s="76"/>
      <c r="K811" s="76"/>
      <c r="L811" s="76"/>
    </row>
    <row r="812" spans="1:12" ht="14.25">
      <c r="A812" s="76"/>
      <c r="B812" s="76"/>
      <c r="C812" s="76"/>
      <c r="D812" s="155"/>
      <c r="E812" s="76"/>
      <c r="F812" s="76"/>
      <c r="G812" s="76"/>
      <c r="H812" s="156"/>
      <c r="I812" s="76"/>
      <c r="J812" s="76"/>
      <c r="K812" s="76"/>
      <c r="L812" s="76"/>
    </row>
    <row r="813" spans="1:12" ht="14.25">
      <c r="A813" s="76"/>
      <c r="B813" s="76"/>
      <c r="C813" s="76"/>
      <c r="D813" s="155"/>
      <c r="E813" s="76"/>
      <c r="F813" s="76"/>
      <c r="G813" s="76"/>
      <c r="H813" s="156"/>
      <c r="I813" s="76"/>
      <c r="J813" s="76"/>
      <c r="K813" s="76"/>
      <c r="L813" s="76"/>
    </row>
    <row r="814" spans="1:12" ht="14.25">
      <c r="A814" s="76"/>
      <c r="B814" s="76"/>
      <c r="C814" s="76"/>
      <c r="D814" s="155"/>
      <c r="E814" s="76"/>
      <c r="F814" s="76"/>
      <c r="G814" s="76"/>
      <c r="H814" s="156"/>
      <c r="I814" s="76"/>
      <c r="J814" s="76"/>
      <c r="K814" s="76"/>
      <c r="L814" s="76"/>
    </row>
    <row r="815" spans="1:12" ht="14.25">
      <c r="A815" s="76"/>
      <c r="B815" s="76"/>
      <c r="C815" s="76"/>
      <c r="D815" s="155"/>
      <c r="E815" s="76"/>
      <c r="F815" s="76"/>
      <c r="G815" s="76"/>
      <c r="H815" s="156"/>
      <c r="I815" s="76"/>
      <c r="J815" s="76"/>
      <c r="K815" s="76"/>
      <c r="L815" s="76"/>
    </row>
    <row r="816" spans="1:12" ht="14.25">
      <c r="A816" s="76"/>
      <c r="B816" s="76"/>
      <c r="C816" s="76"/>
      <c r="D816" s="155"/>
      <c r="E816" s="76"/>
      <c r="F816" s="76"/>
      <c r="G816" s="76"/>
      <c r="H816" s="156"/>
      <c r="I816" s="76"/>
      <c r="J816" s="76"/>
      <c r="K816" s="76"/>
      <c r="L816" s="76"/>
    </row>
    <row r="817" spans="1:12" ht="14.25">
      <c r="A817" s="76"/>
      <c r="B817" s="76"/>
      <c r="C817" s="76"/>
      <c r="D817" s="155"/>
      <c r="E817" s="76"/>
      <c r="F817" s="76"/>
      <c r="G817" s="76"/>
      <c r="H817" s="156"/>
      <c r="I817" s="76"/>
      <c r="J817" s="76"/>
      <c r="K817" s="76"/>
      <c r="L817" s="76"/>
    </row>
    <row r="818" spans="1:12" ht="14.25">
      <c r="A818" s="76"/>
      <c r="B818" s="76"/>
      <c r="C818" s="76"/>
      <c r="D818" s="155"/>
      <c r="E818" s="76"/>
      <c r="F818" s="76"/>
      <c r="G818" s="76"/>
      <c r="H818" s="156"/>
      <c r="I818" s="76"/>
      <c r="J818" s="76"/>
      <c r="K818" s="76"/>
      <c r="L818" s="76"/>
    </row>
    <row r="819" spans="1:12" ht="14.25">
      <c r="A819" s="76"/>
      <c r="B819" s="76"/>
      <c r="C819" s="76"/>
      <c r="D819" s="155"/>
      <c r="E819" s="76"/>
      <c r="F819" s="76"/>
      <c r="G819" s="76"/>
      <c r="H819" s="156"/>
      <c r="I819" s="76"/>
      <c r="J819" s="76"/>
      <c r="K819" s="76"/>
      <c r="L819" s="76"/>
    </row>
    <row r="820" spans="1:12" ht="14.25">
      <c r="A820" s="76"/>
      <c r="B820" s="76"/>
      <c r="C820" s="76"/>
      <c r="D820" s="155"/>
      <c r="E820" s="76"/>
      <c r="F820" s="76"/>
      <c r="G820" s="76"/>
      <c r="H820" s="156"/>
      <c r="I820" s="76"/>
      <c r="J820" s="76"/>
      <c r="K820" s="76"/>
      <c r="L820" s="76"/>
    </row>
    <row r="821" spans="1:12" ht="14.25">
      <c r="A821" s="76"/>
      <c r="B821" s="76"/>
      <c r="C821" s="76"/>
      <c r="D821" s="155"/>
      <c r="E821" s="76"/>
      <c r="F821" s="76"/>
      <c r="G821" s="76"/>
      <c r="H821" s="156"/>
      <c r="I821" s="76"/>
      <c r="J821" s="76"/>
      <c r="K821" s="76"/>
      <c r="L821" s="76"/>
    </row>
    <row r="822" spans="1:12" ht="14.25">
      <c r="A822" s="76"/>
      <c r="B822" s="76"/>
      <c r="C822" s="76"/>
      <c r="D822" s="155"/>
      <c r="E822" s="76"/>
      <c r="F822" s="76"/>
      <c r="G822" s="76"/>
      <c r="H822" s="156"/>
      <c r="I822" s="76"/>
      <c r="J822" s="76"/>
      <c r="K822" s="76"/>
      <c r="L822" s="76"/>
    </row>
    <row r="823" spans="1:12" ht="14.25">
      <c r="A823" s="76"/>
      <c r="B823" s="76"/>
      <c r="C823" s="76"/>
      <c r="D823" s="155"/>
      <c r="E823" s="76"/>
      <c r="F823" s="76"/>
      <c r="G823" s="76"/>
      <c r="H823" s="156"/>
      <c r="I823" s="76"/>
      <c r="J823" s="76"/>
      <c r="K823" s="76"/>
      <c r="L823" s="76"/>
    </row>
    <row r="824" spans="1:12" ht="14.25">
      <c r="A824" s="76"/>
      <c r="B824" s="76"/>
      <c r="C824" s="76"/>
      <c r="D824" s="155"/>
      <c r="E824" s="76"/>
      <c r="F824" s="76"/>
      <c r="G824" s="76"/>
      <c r="H824" s="156"/>
      <c r="I824" s="76"/>
      <c r="J824" s="76"/>
      <c r="K824" s="76"/>
      <c r="L824" s="76"/>
    </row>
    <row r="825" spans="1:12" ht="14.25">
      <c r="A825" s="76"/>
      <c r="B825" s="76"/>
      <c r="C825" s="76"/>
      <c r="D825" s="155"/>
      <c r="E825" s="76"/>
      <c r="F825" s="76"/>
      <c r="G825" s="76"/>
      <c r="H825" s="156"/>
      <c r="I825" s="76"/>
      <c r="J825" s="76"/>
      <c r="K825" s="76"/>
      <c r="L825" s="76"/>
    </row>
    <row r="826" spans="1:12" ht="14.25">
      <c r="A826" s="76"/>
      <c r="B826" s="76"/>
      <c r="C826" s="76"/>
      <c r="D826" s="155"/>
      <c r="E826" s="76"/>
      <c r="F826" s="76"/>
      <c r="G826" s="76"/>
      <c r="H826" s="156"/>
      <c r="I826" s="76"/>
      <c r="J826" s="76"/>
      <c r="K826" s="76"/>
      <c r="L826" s="76"/>
    </row>
    <row r="827" spans="1:12" ht="14.25">
      <c r="A827" s="76"/>
      <c r="B827" s="76"/>
      <c r="C827" s="76"/>
      <c r="D827" s="155"/>
      <c r="E827" s="76"/>
      <c r="F827" s="76"/>
      <c r="G827" s="76"/>
      <c r="H827" s="156"/>
      <c r="I827" s="76"/>
      <c r="J827" s="76"/>
      <c r="K827" s="76"/>
      <c r="L827" s="76"/>
    </row>
    <row r="828" spans="1:12" ht="14.25">
      <c r="A828" s="76"/>
      <c r="B828" s="76"/>
      <c r="C828" s="76"/>
      <c r="D828" s="155"/>
      <c r="E828" s="76"/>
      <c r="F828" s="76"/>
      <c r="G828" s="76"/>
      <c r="H828" s="156"/>
      <c r="I828" s="76"/>
      <c r="J828" s="76"/>
      <c r="K828" s="76"/>
      <c r="L828" s="76"/>
    </row>
    <row r="829" spans="1:12" ht="14.25">
      <c r="A829" s="76"/>
      <c r="B829" s="76"/>
      <c r="C829" s="76"/>
      <c r="D829" s="155"/>
      <c r="E829" s="76"/>
      <c r="F829" s="76"/>
      <c r="G829" s="76"/>
      <c r="H829" s="156"/>
      <c r="I829" s="76"/>
      <c r="J829" s="76"/>
      <c r="K829" s="76"/>
      <c r="L829" s="76"/>
    </row>
    <row r="830" spans="1:12" ht="14.25">
      <c r="A830" s="76"/>
      <c r="B830" s="76"/>
      <c r="C830" s="76"/>
      <c r="D830" s="155"/>
      <c r="E830" s="76"/>
      <c r="F830" s="76"/>
      <c r="G830" s="76"/>
      <c r="H830" s="156"/>
      <c r="I830" s="76"/>
      <c r="J830" s="76"/>
      <c r="K830" s="76"/>
      <c r="L830" s="76"/>
    </row>
    <row r="831" spans="1:12" ht="14.25">
      <c r="A831" s="76"/>
      <c r="B831" s="76"/>
      <c r="C831" s="76"/>
      <c r="D831" s="155"/>
      <c r="E831" s="76"/>
      <c r="F831" s="76"/>
      <c r="G831" s="76"/>
      <c r="H831" s="156"/>
      <c r="I831" s="76"/>
      <c r="J831" s="76"/>
      <c r="K831" s="76"/>
      <c r="L831" s="76"/>
    </row>
    <row r="832" spans="1:12" ht="14.25">
      <c r="A832" s="76"/>
      <c r="B832" s="76"/>
      <c r="C832" s="76"/>
      <c r="D832" s="155"/>
      <c r="E832" s="76"/>
      <c r="F832" s="76"/>
      <c r="G832" s="76"/>
      <c r="H832" s="156"/>
      <c r="I832" s="76"/>
      <c r="J832" s="76"/>
      <c r="K832" s="76"/>
      <c r="L832" s="76"/>
    </row>
    <row r="833" spans="1:12" ht="14.25">
      <c r="A833" s="76"/>
      <c r="B833" s="76"/>
      <c r="C833" s="76"/>
      <c r="D833" s="155"/>
      <c r="E833" s="76"/>
      <c r="F833" s="76"/>
      <c r="G833" s="76"/>
      <c r="H833" s="156"/>
      <c r="I833" s="76"/>
      <c r="J833" s="76"/>
      <c r="K833" s="76"/>
      <c r="L833" s="76"/>
    </row>
    <row r="834" spans="1:12" ht="14.25">
      <c r="A834" s="76"/>
      <c r="B834" s="76"/>
      <c r="C834" s="76"/>
      <c r="D834" s="155"/>
      <c r="E834" s="76"/>
      <c r="F834" s="76"/>
      <c r="G834" s="76"/>
      <c r="H834" s="156"/>
      <c r="I834" s="76"/>
      <c r="J834" s="76"/>
      <c r="K834" s="76"/>
      <c r="L834" s="76"/>
    </row>
    <row r="835" spans="1:12" ht="14.25">
      <c r="A835" s="76"/>
      <c r="B835" s="76"/>
      <c r="C835" s="76"/>
      <c r="D835" s="155"/>
      <c r="E835" s="76"/>
      <c r="F835" s="76"/>
      <c r="G835" s="76"/>
      <c r="H835" s="156"/>
      <c r="I835" s="76"/>
      <c r="J835" s="76"/>
      <c r="K835" s="76"/>
      <c r="L835" s="76"/>
    </row>
    <row r="836" spans="1:12" ht="14.25">
      <c r="A836" s="76"/>
      <c r="B836" s="76"/>
      <c r="C836" s="76"/>
      <c r="D836" s="155"/>
      <c r="E836" s="76"/>
      <c r="F836" s="76"/>
      <c r="G836" s="76"/>
      <c r="H836" s="156"/>
      <c r="I836" s="76"/>
      <c r="J836" s="76"/>
      <c r="K836" s="76"/>
      <c r="L836" s="76"/>
    </row>
    <row r="837" spans="1:12" ht="14.25">
      <c r="A837" s="76"/>
      <c r="B837" s="76"/>
      <c r="C837" s="76"/>
      <c r="D837" s="155"/>
      <c r="E837" s="76"/>
      <c r="F837" s="76"/>
      <c r="G837" s="76"/>
      <c r="H837" s="156"/>
      <c r="I837" s="76"/>
      <c r="J837" s="76"/>
      <c r="K837" s="76"/>
      <c r="L837" s="76"/>
    </row>
    <row r="838" spans="1:12" ht="14.25">
      <c r="A838" s="76"/>
      <c r="B838" s="76"/>
      <c r="C838" s="76"/>
      <c r="D838" s="155"/>
      <c r="E838" s="76"/>
      <c r="F838" s="76"/>
      <c r="G838" s="76"/>
      <c r="H838" s="156"/>
      <c r="I838" s="76"/>
      <c r="J838" s="76"/>
      <c r="K838" s="76"/>
      <c r="L838" s="76"/>
    </row>
    <row r="839" spans="1:12" ht="14.25">
      <c r="A839" s="76"/>
      <c r="B839" s="76"/>
      <c r="C839" s="76"/>
      <c r="D839" s="155"/>
      <c r="E839" s="76"/>
      <c r="F839" s="76"/>
      <c r="G839" s="76"/>
      <c r="H839" s="156"/>
      <c r="I839" s="76"/>
      <c r="J839" s="76"/>
      <c r="K839" s="76"/>
      <c r="L839" s="76"/>
    </row>
    <row r="840" spans="1:12" ht="14.25">
      <c r="A840" s="76"/>
      <c r="B840" s="76"/>
      <c r="C840" s="76"/>
      <c r="D840" s="155"/>
      <c r="E840" s="76"/>
      <c r="F840" s="76"/>
      <c r="G840" s="76"/>
      <c r="H840" s="156"/>
      <c r="I840" s="76"/>
      <c r="J840" s="76"/>
      <c r="K840" s="76"/>
      <c r="L840" s="76"/>
    </row>
    <row r="841" spans="1:12" ht="14.25">
      <c r="A841" s="76"/>
      <c r="B841" s="76"/>
      <c r="C841" s="76"/>
      <c r="D841" s="155"/>
      <c r="E841" s="76"/>
      <c r="F841" s="76"/>
      <c r="G841" s="76"/>
      <c r="H841" s="156"/>
      <c r="I841" s="76"/>
      <c r="J841" s="76"/>
      <c r="K841" s="76"/>
      <c r="L841" s="76"/>
    </row>
    <row r="842" spans="1:12" ht="14.25">
      <c r="A842" s="76"/>
      <c r="B842" s="76"/>
      <c r="C842" s="76"/>
      <c r="D842" s="155"/>
      <c r="E842" s="76"/>
      <c r="F842" s="76"/>
      <c r="G842" s="76"/>
      <c r="H842" s="156"/>
      <c r="I842" s="76"/>
      <c r="J842" s="76"/>
      <c r="K842" s="76"/>
      <c r="L842" s="76"/>
    </row>
    <row r="843" spans="1:12" ht="14.25">
      <c r="A843" s="76"/>
      <c r="B843" s="76"/>
      <c r="C843" s="76"/>
      <c r="D843" s="155"/>
      <c r="E843" s="76"/>
      <c r="F843" s="76"/>
      <c r="G843" s="76"/>
      <c r="H843" s="156"/>
      <c r="I843" s="76"/>
      <c r="J843" s="76"/>
      <c r="K843" s="76"/>
      <c r="L843" s="76"/>
    </row>
    <row r="844" spans="1:12" ht="14.25">
      <c r="A844" s="76"/>
      <c r="B844" s="76"/>
      <c r="C844" s="76"/>
      <c r="D844" s="155"/>
      <c r="E844" s="76"/>
      <c r="F844" s="76"/>
      <c r="G844" s="76"/>
      <c r="H844" s="156"/>
      <c r="I844" s="76"/>
      <c r="J844" s="76"/>
      <c r="K844" s="76"/>
      <c r="L844" s="76"/>
    </row>
    <row r="845" spans="1:12" ht="14.25">
      <c r="A845" s="76"/>
      <c r="B845" s="76"/>
      <c r="C845" s="76"/>
      <c r="D845" s="155"/>
      <c r="E845" s="76"/>
      <c r="F845" s="76"/>
      <c r="G845" s="76"/>
      <c r="H845" s="156"/>
      <c r="I845" s="76"/>
      <c r="J845" s="76"/>
      <c r="K845" s="76"/>
      <c r="L845" s="76"/>
    </row>
    <row r="846" spans="1:12" ht="14.25">
      <c r="A846" s="76"/>
      <c r="B846" s="76"/>
      <c r="C846" s="76"/>
      <c r="D846" s="155"/>
      <c r="E846" s="76"/>
      <c r="F846" s="76"/>
      <c r="G846" s="76"/>
      <c r="H846" s="156"/>
      <c r="I846" s="76"/>
      <c r="J846" s="76"/>
      <c r="K846" s="76"/>
      <c r="L846" s="76"/>
    </row>
    <row r="847" spans="1:12" ht="14.25">
      <c r="A847" s="76"/>
      <c r="B847" s="76"/>
      <c r="C847" s="76"/>
      <c r="D847" s="155"/>
      <c r="E847" s="76"/>
      <c r="F847" s="76"/>
      <c r="G847" s="76"/>
      <c r="H847" s="156"/>
      <c r="I847" s="76"/>
      <c r="J847" s="76"/>
      <c r="K847" s="76"/>
      <c r="L847" s="76"/>
    </row>
    <row r="848" spans="1:12" ht="14.25">
      <c r="A848" s="76"/>
      <c r="B848" s="76"/>
      <c r="C848" s="76"/>
      <c r="D848" s="155"/>
      <c r="E848" s="76"/>
      <c r="F848" s="76"/>
      <c r="G848" s="76"/>
      <c r="H848" s="156"/>
      <c r="I848" s="76"/>
      <c r="J848" s="76"/>
      <c r="K848" s="76"/>
      <c r="L848" s="76"/>
    </row>
    <row r="849" spans="1:12" ht="14.25">
      <c r="A849" s="76"/>
      <c r="B849" s="76"/>
      <c r="C849" s="76"/>
      <c r="D849" s="155"/>
      <c r="E849" s="76"/>
      <c r="F849" s="76"/>
      <c r="G849" s="76"/>
      <c r="H849" s="156"/>
      <c r="I849" s="76"/>
      <c r="J849" s="76"/>
      <c r="K849" s="76"/>
      <c r="L849" s="76"/>
    </row>
    <row r="850" spans="1:12" ht="14.25">
      <c r="A850" s="76"/>
      <c r="B850" s="76"/>
      <c r="C850" s="76"/>
      <c r="D850" s="155"/>
      <c r="E850" s="76"/>
      <c r="F850" s="76"/>
      <c r="G850" s="76"/>
      <c r="H850" s="156"/>
      <c r="I850" s="76"/>
      <c r="J850" s="76"/>
      <c r="K850" s="76"/>
      <c r="L850" s="76"/>
    </row>
    <row r="851" spans="1:12" ht="14.25">
      <c r="A851" s="76"/>
      <c r="B851" s="76"/>
      <c r="C851" s="76"/>
      <c r="D851" s="155"/>
      <c r="E851" s="76"/>
      <c r="F851" s="76"/>
      <c r="G851" s="76"/>
      <c r="H851" s="156"/>
      <c r="I851" s="76"/>
      <c r="J851" s="76"/>
      <c r="K851" s="76"/>
      <c r="L851" s="76"/>
    </row>
    <row r="852" spans="1:12" ht="14.25">
      <c r="A852" s="76"/>
      <c r="B852" s="76"/>
      <c r="C852" s="76"/>
      <c r="D852" s="155"/>
      <c r="E852" s="76"/>
      <c r="F852" s="76"/>
      <c r="G852" s="76"/>
      <c r="H852" s="156"/>
      <c r="I852" s="76"/>
      <c r="J852" s="76"/>
      <c r="K852" s="76"/>
      <c r="L852" s="76"/>
    </row>
    <row r="853" spans="1:12" ht="14.25">
      <c r="A853" s="76"/>
      <c r="B853" s="76"/>
      <c r="C853" s="76"/>
      <c r="D853" s="155"/>
      <c r="E853" s="76"/>
      <c r="F853" s="76"/>
      <c r="G853" s="76"/>
      <c r="H853" s="156"/>
      <c r="I853" s="76"/>
      <c r="J853" s="76"/>
      <c r="K853" s="76"/>
      <c r="L853" s="76"/>
    </row>
    <row r="854" spans="1:12" ht="14.25">
      <c r="A854" s="76"/>
      <c r="B854" s="76"/>
      <c r="C854" s="76"/>
      <c r="D854" s="155"/>
      <c r="E854" s="76"/>
      <c r="F854" s="76"/>
      <c r="G854" s="76"/>
      <c r="H854" s="156"/>
      <c r="I854" s="76"/>
      <c r="J854" s="76"/>
      <c r="K854" s="76"/>
      <c r="L854" s="76"/>
    </row>
    <row r="855" spans="1:12" ht="14.25">
      <c r="A855" s="76"/>
      <c r="B855" s="76"/>
      <c r="C855" s="76"/>
      <c r="D855" s="155"/>
      <c r="E855" s="76"/>
      <c r="F855" s="76"/>
      <c r="G855" s="76"/>
      <c r="H855" s="156"/>
      <c r="I855" s="76"/>
      <c r="J855" s="76"/>
      <c r="K855" s="76"/>
      <c r="L855" s="76"/>
    </row>
    <row r="856" spans="1:12" ht="14.25">
      <c r="A856" s="76"/>
      <c r="B856" s="76"/>
      <c r="C856" s="76"/>
      <c r="D856" s="155"/>
      <c r="E856" s="76"/>
      <c r="F856" s="76"/>
      <c r="G856" s="76"/>
      <c r="H856" s="156"/>
      <c r="I856" s="76"/>
      <c r="J856" s="76"/>
      <c r="K856" s="76"/>
      <c r="L856" s="76"/>
    </row>
    <row r="857" spans="1:12" ht="14.25">
      <c r="A857" s="76"/>
      <c r="B857" s="76"/>
      <c r="C857" s="76"/>
      <c r="D857" s="155"/>
      <c r="E857" s="76"/>
      <c r="F857" s="76"/>
      <c r="G857" s="76"/>
      <c r="H857" s="156"/>
      <c r="I857" s="76"/>
      <c r="J857" s="76"/>
      <c r="K857" s="76"/>
      <c r="L857" s="76"/>
    </row>
    <row r="858" spans="1:12" ht="14.25">
      <c r="A858" s="76"/>
      <c r="B858" s="76"/>
      <c r="C858" s="76"/>
      <c r="D858" s="155"/>
      <c r="E858" s="76"/>
      <c r="F858" s="76"/>
      <c r="G858" s="76"/>
      <c r="H858" s="156"/>
      <c r="I858" s="76"/>
      <c r="J858" s="76"/>
      <c r="K858" s="76"/>
      <c r="L858" s="76"/>
    </row>
    <row r="859" spans="1:12" ht="14.25">
      <c r="A859" s="76"/>
      <c r="B859" s="76"/>
      <c r="C859" s="76"/>
      <c r="D859" s="155"/>
      <c r="E859" s="76"/>
      <c r="F859" s="76"/>
      <c r="G859" s="76"/>
      <c r="H859" s="156"/>
      <c r="I859" s="76"/>
      <c r="J859" s="76"/>
      <c r="K859" s="76"/>
      <c r="L859" s="76"/>
    </row>
    <row r="860" spans="1:12" ht="14.25">
      <c r="A860" s="76"/>
      <c r="B860" s="76"/>
      <c r="C860" s="76"/>
      <c r="D860" s="155"/>
      <c r="E860" s="76"/>
      <c r="F860" s="76"/>
      <c r="G860" s="76"/>
      <c r="H860" s="156"/>
      <c r="I860" s="76"/>
      <c r="J860" s="76"/>
      <c r="K860" s="76"/>
      <c r="L860" s="76"/>
    </row>
    <row r="861" spans="1:12" ht="14.25">
      <c r="A861" s="76"/>
      <c r="B861" s="76"/>
      <c r="C861" s="76"/>
      <c r="D861" s="155"/>
      <c r="E861" s="76"/>
      <c r="F861" s="76"/>
      <c r="G861" s="76"/>
      <c r="H861" s="156"/>
      <c r="I861" s="76"/>
      <c r="J861" s="76"/>
      <c r="K861" s="76"/>
      <c r="L861" s="76"/>
    </row>
    <row r="862" spans="1:12" ht="14.25">
      <c r="A862" s="76"/>
      <c r="B862" s="76"/>
      <c r="C862" s="76"/>
      <c r="D862" s="155"/>
      <c r="E862" s="76"/>
      <c r="F862" s="76"/>
      <c r="G862" s="76"/>
      <c r="H862" s="156"/>
      <c r="I862" s="76"/>
      <c r="J862" s="76"/>
      <c r="K862" s="76"/>
      <c r="L862" s="76"/>
    </row>
    <row r="863" spans="1:12" ht="14.25">
      <c r="A863" s="76"/>
      <c r="B863" s="76"/>
      <c r="C863" s="76"/>
      <c r="D863" s="155"/>
      <c r="E863" s="76"/>
      <c r="F863" s="76"/>
      <c r="G863" s="76"/>
      <c r="H863" s="156"/>
      <c r="I863" s="76"/>
      <c r="J863" s="76"/>
      <c r="K863" s="76"/>
      <c r="L863" s="76"/>
    </row>
    <row r="864" spans="1:12" ht="14.25">
      <c r="A864" s="76"/>
      <c r="B864" s="76"/>
      <c r="C864" s="76"/>
      <c r="D864" s="155"/>
      <c r="E864" s="76"/>
      <c r="F864" s="76"/>
      <c r="G864" s="76"/>
      <c r="H864" s="156"/>
      <c r="I864" s="76"/>
      <c r="J864" s="76"/>
      <c r="K864" s="76"/>
      <c r="L864" s="76"/>
    </row>
    <row r="865" spans="1:12" ht="14.25">
      <c r="A865" s="76"/>
      <c r="B865" s="76"/>
      <c r="C865" s="76"/>
      <c r="D865" s="155"/>
      <c r="E865" s="76"/>
      <c r="F865" s="76"/>
      <c r="G865" s="76"/>
      <c r="H865" s="156"/>
      <c r="I865" s="76"/>
      <c r="J865" s="76"/>
      <c r="K865" s="76"/>
      <c r="L865" s="76"/>
    </row>
    <row r="866" spans="1:12" ht="14.25">
      <c r="A866" s="76"/>
      <c r="B866" s="76"/>
      <c r="C866" s="76"/>
      <c r="D866" s="155"/>
      <c r="E866" s="76"/>
      <c r="F866" s="76"/>
      <c r="G866" s="76"/>
      <c r="H866" s="156"/>
      <c r="I866" s="76"/>
      <c r="J866" s="76"/>
      <c r="K866" s="76"/>
      <c r="L866" s="76"/>
    </row>
    <row r="867" spans="1:12" ht="14.25">
      <c r="A867" s="76"/>
      <c r="B867" s="76"/>
      <c r="C867" s="76"/>
      <c r="D867" s="155"/>
      <c r="E867" s="76"/>
      <c r="F867" s="76"/>
      <c r="G867" s="76"/>
      <c r="H867" s="156"/>
      <c r="I867" s="76"/>
      <c r="J867" s="76"/>
      <c r="K867" s="76"/>
      <c r="L867" s="76"/>
    </row>
    <row r="868" spans="1:12" ht="14.25">
      <c r="A868" s="76"/>
      <c r="B868" s="76"/>
      <c r="C868" s="76"/>
      <c r="D868" s="155"/>
      <c r="E868" s="76"/>
      <c r="F868" s="76"/>
      <c r="G868" s="76"/>
      <c r="H868" s="156"/>
      <c r="I868" s="76"/>
      <c r="J868" s="76"/>
      <c r="K868" s="76"/>
      <c r="L868" s="76"/>
    </row>
    <row r="869" spans="1:12" ht="14.25">
      <c r="A869" s="76"/>
      <c r="B869" s="76"/>
      <c r="C869" s="76"/>
      <c r="D869" s="155"/>
      <c r="E869" s="76"/>
      <c r="F869" s="76"/>
      <c r="G869" s="76"/>
      <c r="H869" s="156"/>
      <c r="I869" s="76"/>
      <c r="J869" s="76"/>
      <c r="K869" s="76"/>
      <c r="L869" s="76"/>
    </row>
    <row r="870" spans="1:12" ht="14.25">
      <c r="A870" s="76"/>
      <c r="B870" s="76"/>
      <c r="C870" s="76"/>
      <c r="D870" s="155"/>
      <c r="E870" s="76"/>
      <c r="F870" s="76"/>
      <c r="G870" s="76"/>
      <c r="H870" s="156"/>
      <c r="I870" s="76"/>
      <c r="J870" s="76"/>
      <c r="K870" s="76"/>
      <c r="L870" s="76"/>
    </row>
    <row r="871" spans="1:12" ht="14.25">
      <c r="A871" s="76"/>
      <c r="B871" s="76"/>
      <c r="C871" s="76"/>
      <c r="D871" s="155"/>
      <c r="E871" s="76"/>
      <c r="F871" s="76"/>
      <c r="G871" s="76"/>
      <c r="H871" s="156"/>
      <c r="I871" s="76"/>
      <c r="J871" s="76"/>
      <c r="K871" s="76"/>
      <c r="L871" s="76"/>
    </row>
    <row r="872" spans="1:12" ht="14.25">
      <c r="A872" s="76"/>
      <c r="B872" s="76"/>
      <c r="C872" s="76"/>
      <c r="D872" s="155"/>
      <c r="E872" s="76"/>
      <c r="F872" s="76"/>
      <c r="G872" s="76"/>
      <c r="H872" s="156"/>
      <c r="I872" s="76"/>
      <c r="J872" s="76"/>
      <c r="K872" s="76"/>
      <c r="L872" s="76"/>
    </row>
    <row r="873" spans="1:12" ht="14.25">
      <c r="A873" s="76"/>
      <c r="B873" s="76"/>
      <c r="C873" s="76"/>
      <c r="D873" s="155"/>
      <c r="E873" s="76"/>
      <c r="F873" s="76"/>
      <c r="G873" s="76"/>
      <c r="H873" s="156"/>
      <c r="I873" s="76"/>
      <c r="J873" s="76"/>
      <c r="K873" s="76"/>
      <c r="L873" s="76"/>
    </row>
    <row r="874" spans="1:12" ht="14.25">
      <c r="A874" s="76"/>
      <c r="B874" s="76"/>
      <c r="C874" s="76"/>
      <c r="D874" s="155"/>
      <c r="E874" s="76"/>
      <c r="F874" s="76"/>
      <c r="G874" s="76"/>
      <c r="H874" s="156"/>
      <c r="I874" s="76"/>
      <c r="J874" s="76"/>
      <c r="K874" s="76"/>
      <c r="L874" s="76"/>
    </row>
    <row r="875" spans="1:12" ht="14.25">
      <c r="A875" s="76"/>
      <c r="B875" s="76"/>
      <c r="C875" s="76"/>
      <c r="D875" s="155"/>
      <c r="E875" s="76"/>
      <c r="F875" s="76"/>
      <c r="G875" s="76"/>
      <c r="H875" s="156"/>
      <c r="I875" s="76"/>
      <c r="J875" s="76"/>
      <c r="K875" s="76"/>
      <c r="L875" s="76"/>
    </row>
    <row r="876" spans="1:12" ht="14.25">
      <c r="A876" s="76"/>
      <c r="B876" s="76"/>
      <c r="C876" s="76"/>
      <c r="D876" s="155"/>
      <c r="E876" s="76"/>
      <c r="F876" s="76"/>
      <c r="G876" s="76"/>
      <c r="H876" s="156"/>
      <c r="I876" s="76"/>
      <c r="J876" s="76"/>
      <c r="K876" s="76"/>
      <c r="L876" s="76"/>
    </row>
    <row r="877" spans="1:12" ht="14.25">
      <c r="A877" s="76"/>
      <c r="B877" s="76"/>
      <c r="C877" s="76"/>
      <c r="D877" s="155"/>
      <c r="E877" s="76"/>
      <c r="F877" s="76"/>
      <c r="G877" s="76"/>
      <c r="H877" s="156"/>
      <c r="I877" s="76"/>
      <c r="J877" s="76"/>
      <c r="K877" s="76"/>
      <c r="L877" s="76"/>
    </row>
    <row r="878" spans="1:12" ht="14.25">
      <c r="A878" s="76"/>
      <c r="B878" s="76"/>
      <c r="C878" s="76"/>
      <c r="D878" s="155"/>
      <c r="E878" s="76"/>
      <c r="F878" s="76"/>
      <c r="G878" s="76"/>
      <c r="H878" s="156"/>
      <c r="I878" s="76"/>
      <c r="J878" s="76"/>
      <c r="K878" s="76"/>
      <c r="L878" s="76"/>
    </row>
    <row r="879" spans="1:12" ht="14.25">
      <c r="A879" s="76"/>
      <c r="B879" s="76"/>
      <c r="C879" s="76"/>
      <c r="D879" s="155"/>
      <c r="E879" s="76"/>
      <c r="F879" s="76"/>
      <c r="G879" s="76"/>
      <c r="H879" s="156"/>
      <c r="I879" s="76"/>
      <c r="J879" s="76"/>
      <c r="K879" s="76"/>
      <c r="L879" s="76"/>
    </row>
    <row r="880" spans="1:12" ht="14.25">
      <c r="A880" s="76"/>
      <c r="B880" s="76"/>
      <c r="C880" s="76"/>
      <c r="D880" s="155"/>
      <c r="E880" s="76"/>
      <c r="F880" s="76"/>
      <c r="G880" s="76"/>
      <c r="H880" s="156"/>
      <c r="I880" s="76"/>
      <c r="J880" s="76"/>
      <c r="K880" s="76"/>
      <c r="L880" s="76"/>
    </row>
    <row r="881" spans="1:12" ht="14.25">
      <c r="A881" s="76"/>
      <c r="B881" s="76"/>
      <c r="C881" s="76"/>
      <c r="D881" s="155"/>
      <c r="E881" s="76"/>
      <c r="F881" s="76"/>
      <c r="G881" s="76"/>
      <c r="H881" s="156"/>
      <c r="I881" s="76"/>
      <c r="J881" s="76"/>
      <c r="K881" s="76"/>
      <c r="L881" s="76"/>
    </row>
    <row r="882" spans="1:12" ht="14.25">
      <c r="A882" s="76"/>
      <c r="B882" s="76"/>
      <c r="C882" s="76"/>
      <c r="D882" s="155"/>
      <c r="E882" s="76"/>
      <c r="F882" s="76"/>
      <c r="G882" s="76"/>
      <c r="H882" s="156"/>
      <c r="I882" s="76"/>
      <c r="J882" s="76"/>
      <c r="K882" s="76"/>
      <c r="L882" s="76"/>
    </row>
  </sheetData>
  <sheetProtection/>
  <mergeCells count="286">
    <mergeCell ref="K694:K700"/>
    <mergeCell ref="K701:K707"/>
    <mergeCell ref="K636:K640"/>
    <mergeCell ref="B643:B649"/>
    <mergeCell ref="B635:L635"/>
    <mergeCell ref="A680:A686"/>
    <mergeCell ref="A666:A672"/>
    <mergeCell ref="B687:B693"/>
    <mergeCell ref="A659:A665"/>
    <mergeCell ref="K687:K693"/>
    <mergeCell ref="B57:B72"/>
    <mergeCell ref="B224:B230"/>
    <mergeCell ref="B132:B138"/>
    <mergeCell ref="A174:A180"/>
    <mergeCell ref="B174:B180"/>
    <mergeCell ref="B167:B173"/>
    <mergeCell ref="A189:A195"/>
    <mergeCell ref="A210:A216"/>
    <mergeCell ref="A196:A202"/>
    <mergeCell ref="B117:B124"/>
    <mergeCell ref="A715:B721"/>
    <mergeCell ref="A612:A618"/>
    <mergeCell ref="B612:B618"/>
    <mergeCell ref="A619:A625"/>
    <mergeCell ref="B619:B625"/>
    <mergeCell ref="B605:B611"/>
    <mergeCell ref="A605:A611"/>
    <mergeCell ref="A636:A642"/>
    <mergeCell ref="B636:B642"/>
    <mergeCell ref="A657:K657"/>
    <mergeCell ref="A292:A298"/>
    <mergeCell ref="L32:L38"/>
    <mergeCell ref="L39:L45"/>
    <mergeCell ref="L17:L31"/>
    <mergeCell ref="A46:A56"/>
    <mergeCell ref="B46:B56"/>
    <mergeCell ref="K54:K56"/>
    <mergeCell ref="L46:L56"/>
    <mergeCell ref="C52:C53"/>
    <mergeCell ref="A57:A72"/>
    <mergeCell ref="B17:B23"/>
    <mergeCell ref="K17:K23"/>
    <mergeCell ref="K24:K31"/>
    <mergeCell ref="B32:B38"/>
    <mergeCell ref="K32:K38"/>
    <mergeCell ref="B39:B45"/>
    <mergeCell ref="K39:K45"/>
    <mergeCell ref="I27:I28"/>
    <mergeCell ref="F27:F28"/>
    <mergeCell ref="C27:C28"/>
    <mergeCell ref="D27:D28"/>
    <mergeCell ref="H27:H28"/>
    <mergeCell ref="K4:L4"/>
    <mergeCell ref="K2:L2"/>
    <mergeCell ref="K3:L3"/>
    <mergeCell ref="B217:B223"/>
    <mergeCell ref="B210:B216"/>
    <mergeCell ref="B189:B195"/>
    <mergeCell ref="B159:B166"/>
    <mergeCell ref="K110:K116"/>
    <mergeCell ref="A117:A124"/>
    <mergeCell ref="B125:B131"/>
    <mergeCell ref="A132:A138"/>
    <mergeCell ref="A148:A154"/>
    <mergeCell ref="B148:B154"/>
    <mergeCell ref="L73:L79"/>
    <mergeCell ref="L101:L109"/>
    <mergeCell ref="L110:L129"/>
    <mergeCell ref="L87:L93"/>
    <mergeCell ref="L94:L100"/>
    <mergeCell ref="A467:A473"/>
    <mergeCell ref="B278:B284"/>
    <mergeCell ref="A285:A291"/>
    <mergeCell ref="B285:B291"/>
    <mergeCell ref="K211:K217"/>
    <mergeCell ref="B292:B298"/>
    <mergeCell ref="A320:A326"/>
    <mergeCell ref="B390:B396"/>
    <mergeCell ref="B453:B459"/>
    <mergeCell ref="A411:A417"/>
    <mergeCell ref="B156:L156"/>
    <mergeCell ref="A24:A31"/>
    <mergeCell ref="A32:A38"/>
    <mergeCell ref="A39:A45"/>
    <mergeCell ref="B271:B277"/>
    <mergeCell ref="A203:A209"/>
    <mergeCell ref="A94:A100"/>
    <mergeCell ref="B157:L157"/>
    <mergeCell ref="L80:L86"/>
    <mergeCell ref="L57:L71"/>
    <mergeCell ref="A17:A22"/>
    <mergeCell ref="B110:B116"/>
    <mergeCell ref="B24:B31"/>
    <mergeCell ref="B369:B375"/>
    <mergeCell ref="B203:B209"/>
    <mergeCell ref="B94:B100"/>
    <mergeCell ref="B196:B202"/>
    <mergeCell ref="A341:A347"/>
    <mergeCell ref="A155:L155"/>
    <mergeCell ref="C117:C118"/>
    <mergeCell ref="B659:B665"/>
    <mergeCell ref="B658:L658"/>
    <mergeCell ref="K659:K665"/>
    <mergeCell ref="A446:A452"/>
    <mergeCell ref="B446:B452"/>
    <mergeCell ref="L158:L630"/>
    <mergeCell ref="A217:A223"/>
    <mergeCell ref="A643:A649"/>
    <mergeCell ref="A578:A583"/>
    <mergeCell ref="A327:A333"/>
    <mergeCell ref="B411:B417"/>
    <mergeCell ref="A404:A410"/>
    <mergeCell ref="A432:A438"/>
    <mergeCell ref="B425:B431"/>
    <mergeCell ref="A369:A375"/>
    <mergeCell ref="C181:C182"/>
    <mergeCell ref="A181:A188"/>
    <mergeCell ref="B181:B188"/>
    <mergeCell ref="A224:A230"/>
    <mergeCell ref="A249:A256"/>
    <mergeCell ref="A101:A109"/>
    <mergeCell ref="B101:B109"/>
    <mergeCell ref="A159:A166"/>
    <mergeCell ref="A110:A116"/>
    <mergeCell ref="B139:B147"/>
    <mergeCell ref="B341:B347"/>
    <mergeCell ref="A299:A305"/>
    <mergeCell ref="A242:A248"/>
    <mergeCell ref="B242:B248"/>
    <mergeCell ref="A278:A284"/>
    <mergeCell ref="B257:B263"/>
    <mergeCell ref="A271:A277"/>
    <mergeCell ref="B327:B333"/>
    <mergeCell ref="B383:B389"/>
    <mergeCell ref="B348:B354"/>
    <mergeCell ref="B397:B403"/>
    <mergeCell ref="A397:A403"/>
    <mergeCell ref="B376:B382"/>
    <mergeCell ref="B355:B361"/>
    <mergeCell ref="A383:A389"/>
    <mergeCell ref="B362:B368"/>
    <mergeCell ref="A264:A270"/>
    <mergeCell ref="B249:B256"/>
    <mergeCell ref="B334:B340"/>
    <mergeCell ref="B320:B326"/>
    <mergeCell ref="A14:L14"/>
    <mergeCell ref="A313:A319"/>
    <mergeCell ref="B313:B319"/>
    <mergeCell ref="A306:A312"/>
    <mergeCell ref="B306:B312"/>
    <mergeCell ref="A167:A173"/>
    <mergeCell ref="C64:C66"/>
    <mergeCell ref="K225:K227"/>
    <mergeCell ref="C57:C60"/>
    <mergeCell ref="E27:E28"/>
    <mergeCell ref="K204:K206"/>
    <mergeCell ref="K87:K93"/>
    <mergeCell ref="C159:C160"/>
    <mergeCell ref="K73:K79"/>
    <mergeCell ref="J27:J28"/>
    <mergeCell ref="C142:C144"/>
    <mergeCell ref="K104:K109"/>
    <mergeCell ref="K94:K100"/>
    <mergeCell ref="K70:K72"/>
    <mergeCell ref="K80:K86"/>
    <mergeCell ref="C67:C68"/>
    <mergeCell ref="C69:C70"/>
    <mergeCell ref="E8:I8"/>
    <mergeCell ref="C61:C63"/>
    <mergeCell ref="I10:I12"/>
    <mergeCell ref="F11:F12"/>
    <mergeCell ref="G11:H11"/>
    <mergeCell ref="F10:H10"/>
    <mergeCell ref="B15:L15"/>
    <mergeCell ref="G27:G28"/>
    <mergeCell ref="B16:L16"/>
    <mergeCell ref="C46:C48"/>
    <mergeCell ref="A7:L7"/>
    <mergeCell ref="A8:A12"/>
    <mergeCell ref="B8:B12"/>
    <mergeCell ref="C8:C12"/>
    <mergeCell ref="D8:D12"/>
    <mergeCell ref="J8:J12"/>
    <mergeCell ref="K8:K12"/>
    <mergeCell ref="L8:L12"/>
    <mergeCell ref="F9:I9"/>
    <mergeCell ref="E10:E12"/>
    <mergeCell ref="B231:B241"/>
    <mergeCell ref="A73:A79"/>
    <mergeCell ref="A87:A93"/>
    <mergeCell ref="A231:A241"/>
    <mergeCell ref="A125:A131"/>
    <mergeCell ref="A80:A86"/>
    <mergeCell ref="B80:B86"/>
    <mergeCell ref="A139:A147"/>
    <mergeCell ref="B73:B79"/>
    <mergeCell ref="B87:B93"/>
    <mergeCell ref="A739:B746"/>
    <mergeCell ref="B724:L724"/>
    <mergeCell ref="A694:A700"/>
    <mergeCell ref="A732:B738"/>
    <mergeCell ref="B680:B686"/>
    <mergeCell ref="B666:B672"/>
    <mergeCell ref="K673:K679"/>
    <mergeCell ref="A687:A693"/>
    <mergeCell ref="B725:B731"/>
    <mergeCell ref="B694:B700"/>
    <mergeCell ref="A515:A521"/>
    <mergeCell ref="A550:A556"/>
    <mergeCell ref="A650:B656"/>
    <mergeCell ref="B299:B305"/>
    <mergeCell ref="A355:A361"/>
    <mergeCell ref="A362:A368"/>
    <mergeCell ref="B633:L633"/>
    <mergeCell ref="A488:A493"/>
    <mergeCell ref="A348:A354"/>
    <mergeCell ref="A376:A382"/>
    <mergeCell ref="L659:L715"/>
    <mergeCell ref="L725:L737"/>
    <mergeCell ref="K680:K686"/>
    <mergeCell ref="A722:J722"/>
    <mergeCell ref="A708:A714"/>
    <mergeCell ref="B708:B714"/>
    <mergeCell ref="A725:A731"/>
    <mergeCell ref="K666:K672"/>
    <mergeCell ref="A701:A707"/>
    <mergeCell ref="B701:B707"/>
    <mergeCell ref="A673:A679"/>
    <mergeCell ref="B673:B679"/>
    <mergeCell ref="A481:A487"/>
    <mergeCell ref="B543:B549"/>
    <mergeCell ref="B494:B500"/>
    <mergeCell ref="B501:B507"/>
    <mergeCell ref="A557:A563"/>
    <mergeCell ref="B550:B556"/>
    <mergeCell ref="A598:A604"/>
    <mergeCell ref="B598:B604"/>
    <mergeCell ref="K219:K220"/>
    <mergeCell ref="B515:B521"/>
    <mergeCell ref="B522:B528"/>
    <mergeCell ref="A460:A466"/>
    <mergeCell ref="A390:A396"/>
    <mergeCell ref="A425:A431"/>
    <mergeCell ref="B467:B473"/>
    <mergeCell ref="A522:A528"/>
    <mergeCell ref="K285:K289"/>
    <mergeCell ref="A474:A480"/>
    <mergeCell ref="A334:A340"/>
    <mergeCell ref="B508:B514"/>
    <mergeCell ref="B264:B270"/>
    <mergeCell ref="K306:K310"/>
    <mergeCell ref="K313:K317"/>
    <mergeCell ref="K327:K331"/>
    <mergeCell ref="K334:K338"/>
    <mergeCell ref="B460:B466"/>
    <mergeCell ref="K341:K345"/>
    <mergeCell ref="B432:B438"/>
    <mergeCell ref="B439:B445"/>
    <mergeCell ref="B418:B424"/>
    <mergeCell ref="B474:B480"/>
    <mergeCell ref="A494:A500"/>
    <mergeCell ref="A501:A507"/>
    <mergeCell ref="B481:B487"/>
    <mergeCell ref="A418:A424"/>
    <mergeCell ref="B488:B493"/>
    <mergeCell ref="A453:A459"/>
    <mergeCell ref="A439:A445"/>
    <mergeCell ref="B404:B410"/>
    <mergeCell ref="A508:A514"/>
    <mergeCell ref="B571:B577"/>
    <mergeCell ref="A571:A577"/>
    <mergeCell ref="A543:A549"/>
    <mergeCell ref="A536:A542"/>
    <mergeCell ref="A529:A535"/>
    <mergeCell ref="B557:B563"/>
    <mergeCell ref="B529:B535"/>
    <mergeCell ref="B536:B542"/>
    <mergeCell ref="A626:A632"/>
    <mergeCell ref="B626:B632"/>
    <mergeCell ref="B564:B570"/>
    <mergeCell ref="A564:A570"/>
    <mergeCell ref="A584:A590"/>
    <mergeCell ref="B584:B590"/>
    <mergeCell ref="A591:A597"/>
    <mergeCell ref="B591:B597"/>
    <mergeCell ref="B578:B583"/>
  </mergeCells>
  <printOptions/>
  <pageMargins left="0.8661417322834646" right="0.7086614173228347" top="0" bottom="0" header="0.31496062992125984" footer="0.31496062992125984"/>
  <pageSetup fitToHeight="13" fitToWidth="1" horizontalDpi="600" verticalDpi="600" orientation="landscape" paperSize="9" scale="48" r:id="rId1"/>
  <rowBreaks count="3" manualBreakCount="3">
    <brk id="60" max="255" man="1"/>
    <brk id="204" max="255" man="1"/>
    <brk id="68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zoomScalePageLayoutView="0" workbookViewId="0" topLeftCell="A132">
      <selection activeCell="E155" sqref="E155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11.28125" style="0" customWidth="1"/>
    <col min="6" max="6" width="0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3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spans="1:23" ht="14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58"/>
      <c r="V1" s="76"/>
      <c r="W1" s="76"/>
    </row>
    <row r="2" spans="1:23" ht="14.25">
      <c r="A2" s="76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76"/>
      <c r="N2" s="76"/>
      <c r="O2" s="76"/>
      <c r="P2" s="391" t="s">
        <v>300</v>
      </c>
      <c r="Q2" s="391"/>
      <c r="R2" s="391"/>
      <c r="S2" s="391"/>
      <c r="T2" s="391"/>
      <c r="U2" s="391"/>
      <c r="V2" s="391"/>
      <c r="W2" s="76"/>
    </row>
    <row r="3" spans="1:23" ht="14.25">
      <c r="A3" s="76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76"/>
      <c r="N3" s="76"/>
      <c r="O3" s="76"/>
      <c r="P3" s="413" t="s">
        <v>306</v>
      </c>
      <c r="Q3" s="413"/>
      <c r="R3" s="413"/>
      <c r="S3" s="413"/>
      <c r="T3" s="413"/>
      <c r="U3" s="413"/>
      <c r="V3" s="413"/>
      <c r="W3" s="76"/>
    </row>
    <row r="4" spans="1:23" ht="14.25">
      <c r="A4" s="76"/>
      <c r="B4" s="195"/>
      <c r="C4" s="195"/>
      <c r="D4" s="195"/>
      <c r="E4" s="195"/>
      <c r="F4" s="195"/>
      <c r="G4" s="195"/>
      <c r="H4" s="195"/>
      <c r="I4" s="195"/>
      <c r="J4" s="195"/>
      <c r="K4" s="391"/>
      <c r="L4" s="391"/>
      <c r="M4" s="76"/>
      <c r="N4" s="76"/>
      <c r="O4" s="76"/>
      <c r="P4" s="413" t="s">
        <v>305</v>
      </c>
      <c r="Q4" s="413"/>
      <c r="R4" s="413"/>
      <c r="S4" s="413"/>
      <c r="T4" s="413"/>
      <c r="U4" s="413"/>
      <c r="V4" s="413"/>
      <c r="W4" s="76"/>
    </row>
    <row r="5" spans="1:23" ht="14.25">
      <c r="A5" s="77"/>
      <c r="B5" s="78"/>
      <c r="C5" s="78"/>
      <c r="D5" s="78"/>
      <c r="E5" s="79"/>
      <c r="F5" s="78"/>
      <c r="G5" s="78"/>
      <c r="H5" s="78"/>
      <c r="I5" s="78"/>
      <c r="J5" s="80"/>
      <c r="K5" s="391"/>
      <c r="L5" s="391"/>
      <c r="M5" s="77"/>
      <c r="N5" s="77"/>
      <c r="O5" s="77"/>
      <c r="P5" s="77"/>
      <c r="Q5" s="77"/>
      <c r="R5" s="77"/>
      <c r="S5" s="77"/>
      <c r="T5" s="77"/>
      <c r="U5" s="77"/>
      <c r="V5" s="77"/>
      <c r="W5" s="76"/>
    </row>
    <row r="6" spans="1:23" ht="14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6"/>
    </row>
    <row r="7" spans="1:23" ht="14.25">
      <c r="A7" s="78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6"/>
    </row>
    <row r="8" spans="1:23" ht="17.25">
      <c r="A8" s="76"/>
      <c r="B8" s="76"/>
      <c r="C8" s="76"/>
      <c r="D8" s="76"/>
      <c r="E8" s="98" t="s">
        <v>241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ht="38.25" customHeight="1">
      <c r="A9" s="349" t="s">
        <v>0</v>
      </c>
      <c r="B9" s="407" t="s">
        <v>19</v>
      </c>
      <c r="C9" s="407" t="s">
        <v>2</v>
      </c>
      <c r="D9" s="407" t="s">
        <v>76</v>
      </c>
      <c r="E9" s="349" t="s">
        <v>5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 t="s">
        <v>23</v>
      </c>
      <c r="Q9" s="21"/>
      <c r="R9" s="21"/>
      <c r="S9" s="21"/>
      <c r="T9" s="21"/>
      <c r="U9" s="407" t="s">
        <v>77</v>
      </c>
      <c r="V9" s="407" t="s">
        <v>78</v>
      </c>
      <c r="W9" s="76"/>
    </row>
    <row r="10" spans="1:23" ht="19.5" customHeight="1">
      <c r="A10" s="349"/>
      <c r="B10" s="408"/>
      <c r="C10" s="408"/>
      <c r="D10" s="408"/>
      <c r="E10" s="349" t="s">
        <v>22</v>
      </c>
      <c r="F10" s="186"/>
      <c r="G10" s="349" t="s">
        <v>79</v>
      </c>
      <c r="H10" s="349"/>
      <c r="I10" s="349"/>
      <c r="J10" s="349"/>
      <c r="K10" s="349"/>
      <c r="L10" s="349"/>
      <c r="M10" s="349"/>
      <c r="N10" s="349"/>
      <c r="O10" s="349"/>
      <c r="P10" s="349"/>
      <c r="Q10" s="21"/>
      <c r="R10" s="21"/>
      <c r="S10" s="21"/>
      <c r="T10" s="21"/>
      <c r="U10" s="408"/>
      <c r="V10" s="408"/>
      <c r="W10" s="76"/>
    </row>
    <row r="11" spans="1:23" ht="30" customHeight="1">
      <c r="A11" s="349"/>
      <c r="B11" s="408"/>
      <c r="C11" s="408"/>
      <c r="D11" s="408"/>
      <c r="E11" s="349"/>
      <c r="F11" s="21" t="s">
        <v>24</v>
      </c>
      <c r="G11" s="349" t="s">
        <v>24</v>
      </c>
      <c r="H11" s="349"/>
      <c r="I11" s="349"/>
      <c r="J11" s="349"/>
      <c r="K11" s="21"/>
      <c r="L11" s="21"/>
      <c r="M11" s="21"/>
      <c r="N11" s="21"/>
      <c r="O11" s="349" t="s">
        <v>25</v>
      </c>
      <c r="P11" s="349"/>
      <c r="Q11" s="21" t="s">
        <v>80</v>
      </c>
      <c r="R11" s="21"/>
      <c r="S11" s="21"/>
      <c r="T11" s="21"/>
      <c r="U11" s="408"/>
      <c r="V11" s="408"/>
      <c r="W11" s="76"/>
    </row>
    <row r="12" spans="1:23" ht="30" customHeight="1">
      <c r="A12" s="349"/>
      <c r="B12" s="408"/>
      <c r="C12" s="408"/>
      <c r="D12" s="408"/>
      <c r="E12" s="349"/>
      <c r="F12" s="21"/>
      <c r="G12" s="349" t="s">
        <v>199</v>
      </c>
      <c r="H12" s="349" t="s">
        <v>21</v>
      </c>
      <c r="I12" s="349"/>
      <c r="J12" s="186"/>
      <c r="K12" s="21"/>
      <c r="L12" s="21"/>
      <c r="M12" s="21"/>
      <c r="N12" s="21"/>
      <c r="O12" s="349"/>
      <c r="P12" s="349"/>
      <c r="Q12" s="21"/>
      <c r="R12" s="21"/>
      <c r="S12" s="21"/>
      <c r="T12" s="21"/>
      <c r="U12" s="408"/>
      <c r="V12" s="408"/>
      <c r="W12" s="76"/>
    </row>
    <row r="13" spans="1:23" ht="57" customHeight="1">
      <c r="A13" s="349"/>
      <c r="B13" s="409"/>
      <c r="C13" s="409"/>
      <c r="D13" s="409"/>
      <c r="E13" s="349"/>
      <c r="F13" s="21"/>
      <c r="G13" s="349"/>
      <c r="H13" s="199" t="s">
        <v>201</v>
      </c>
      <c r="I13" s="199" t="s">
        <v>203</v>
      </c>
      <c r="J13" s="21"/>
      <c r="K13" s="21"/>
      <c r="L13" s="21"/>
      <c r="M13" s="21"/>
      <c r="N13" s="21"/>
      <c r="O13" s="349"/>
      <c r="P13" s="349"/>
      <c r="Q13" s="184"/>
      <c r="R13" s="184"/>
      <c r="S13" s="184"/>
      <c r="T13" s="184"/>
      <c r="U13" s="409"/>
      <c r="V13" s="409"/>
      <c r="W13" s="76"/>
    </row>
    <row r="14" spans="1:23" ht="14.25">
      <c r="A14" s="199">
        <v>1</v>
      </c>
      <c r="B14" s="199">
        <v>2</v>
      </c>
      <c r="C14" s="199">
        <v>3</v>
      </c>
      <c r="D14" s="199">
        <v>4</v>
      </c>
      <c r="E14" s="199">
        <v>5</v>
      </c>
      <c r="F14" s="99">
        <v>6</v>
      </c>
      <c r="G14" s="92">
        <v>6</v>
      </c>
      <c r="H14" s="92">
        <v>7</v>
      </c>
      <c r="I14" s="92">
        <v>8</v>
      </c>
      <c r="J14" s="100"/>
      <c r="K14" s="100"/>
      <c r="L14" s="100"/>
      <c r="M14" s="100"/>
      <c r="N14" s="101"/>
      <c r="O14" s="199">
        <v>9</v>
      </c>
      <c r="P14" s="199">
        <v>10</v>
      </c>
      <c r="Q14" s="410">
        <v>11</v>
      </c>
      <c r="R14" s="411"/>
      <c r="S14" s="411"/>
      <c r="T14" s="411"/>
      <c r="U14" s="412"/>
      <c r="V14" s="199">
        <v>12</v>
      </c>
      <c r="W14" s="76"/>
    </row>
    <row r="15" spans="1:23" ht="18">
      <c r="A15" s="421" t="s">
        <v>98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76"/>
    </row>
    <row r="16" spans="1:23" s="9" customFormat="1" ht="27.75" customHeight="1">
      <c r="A16" s="351" t="s">
        <v>113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216"/>
    </row>
    <row r="17" spans="1:22" s="76" customFormat="1" ht="25.5" customHeight="1">
      <c r="A17" s="414" t="s">
        <v>114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6"/>
    </row>
    <row r="18" spans="1:22" s="76" customFormat="1" ht="26.25" customHeight="1">
      <c r="A18" s="407" t="s">
        <v>9</v>
      </c>
      <c r="B18" s="407" t="s">
        <v>81</v>
      </c>
      <c r="C18" s="186">
        <v>2017</v>
      </c>
      <c r="D18" s="221">
        <f>O18</f>
        <v>25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25</v>
      </c>
      <c r="P18" s="187"/>
      <c r="Q18" s="187"/>
      <c r="R18" s="187"/>
      <c r="S18" s="187"/>
      <c r="T18" s="187"/>
      <c r="U18" s="417" t="s">
        <v>30</v>
      </c>
      <c r="V18" s="407" t="s">
        <v>83</v>
      </c>
    </row>
    <row r="19" spans="1:22" s="76" customFormat="1" ht="26.25" customHeight="1">
      <c r="A19" s="408"/>
      <c r="B19" s="408"/>
      <c r="C19" s="186">
        <v>2018</v>
      </c>
      <c r="D19" s="221">
        <v>8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1">
        <f>8</f>
        <v>8</v>
      </c>
      <c r="P19" s="21"/>
      <c r="Q19" s="21"/>
      <c r="R19" s="21" t="s">
        <v>82</v>
      </c>
      <c r="S19" s="21"/>
      <c r="T19" s="21"/>
      <c r="U19" s="418"/>
      <c r="V19" s="408"/>
    </row>
    <row r="20" spans="1:22" s="76" customFormat="1" ht="14.25">
      <c r="A20" s="408"/>
      <c r="B20" s="408"/>
      <c r="C20" s="186">
        <v>2019</v>
      </c>
      <c r="D20" s="221">
        <f aca="true" t="shared" si="0" ref="D20:D26">O20</f>
        <v>13.5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1">
        <f>10.5+3</f>
        <v>13.5</v>
      </c>
      <c r="P20" s="21"/>
      <c r="Q20" s="21"/>
      <c r="R20" s="184"/>
      <c r="S20" s="184"/>
      <c r="T20" s="184"/>
      <c r="U20" s="418"/>
      <c r="V20" s="408"/>
    </row>
    <row r="21" spans="1:22" s="76" customFormat="1" ht="14.25">
      <c r="A21" s="408"/>
      <c r="B21" s="408"/>
      <c r="C21" s="186">
        <v>2020</v>
      </c>
      <c r="D21" s="221">
        <f t="shared" si="0"/>
        <v>4</v>
      </c>
      <c r="E21" s="222"/>
      <c r="F21" s="222"/>
      <c r="G21" s="222"/>
      <c r="H21" s="222"/>
      <c r="I21" s="222"/>
      <c r="J21" s="420"/>
      <c r="K21" s="420"/>
      <c r="L21" s="420"/>
      <c r="M21" s="420"/>
      <c r="N21" s="420"/>
      <c r="O21" s="221">
        <v>4</v>
      </c>
      <c r="P21" s="21"/>
      <c r="Q21" s="21"/>
      <c r="R21" s="184"/>
      <c r="S21" s="184"/>
      <c r="T21" s="184"/>
      <c r="U21" s="418"/>
      <c r="V21" s="408"/>
    </row>
    <row r="22" spans="1:22" s="76" customFormat="1" ht="14.25">
      <c r="A22" s="408"/>
      <c r="B22" s="408"/>
      <c r="C22" s="186">
        <v>2021</v>
      </c>
      <c r="D22" s="221">
        <f t="shared" si="0"/>
        <v>25</v>
      </c>
      <c r="E22" s="222"/>
      <c r="F22" s="222"/>
      <c r="G22" s="222"/>
      <c r="H22" s="222"/>
      <c r="I22" s="222"/>
      <c r="J22" s="223"/>
      <c r="K22" s="223"/>
      <c r="L22" s="223"/>
      <c r="M22" s="223"/>
      <c r="N22" s="223"/>
      <c r="O22" s="221">
        <v>25</v>
      </c>
      <c r="P22" s="21"/>
      <c r="Q22" s="21"/>
      <c r="R22" s="184"/>
      <c r="S22" s="184"/>
      <c r="T22" s="184"/>
      <c r="U22" s="418"/>
      <c r="V22" s="408"/>
    </row>
    <row r="23" spans="1:22" s="76" customFormat="1" ht="14.25">
      <c r="A23" s="408"/>
      <c r="B23" s="408"/>
      <c r="C23" s="186">
        <v>2022</v>
      </c>
      <c r="D23" s="221">
        <f t="shared" si="0"/>
        <v>0</v>
      </c>
      <c r="E23" s="222"/>
      <c r="F23" s="222"/>
      <c r="G23" s="222"/>
      <c r="H23" s="222"/>
      <c r="I23" s="222"/>
      <c r="J23" s="223"/>
      <c r="K23" s="223"/>
      <c r="L23" s="223"/>
      <c r="M23" s="223"/>
      <c r="N23" s="223"/>
      <c r="O23" s="221">
        <v>0</v>
      </c>
      <c r="P23" s="21"/>
      <c r="Q23" s="21"/>
      <c r="R23" s="184"/>
      <c r="S23" s="184"/>
      <c r="T23" s="184"/>
      <c r="U23" s="418"/>
      <c r="V23" s="408"/>
    </row>
    <row r="24" spans="1:22" s="76" customFormat="1" ht="14.25">
      <c r="A24" s="409"/>
      <c r="B24" s="409"/>
      <c r="C24" s="186">
        <v>2023</v>
      </c>
      <c r="D24" s="221">
        <f>O24</f>
        <v>0</v>
      </c>
      <c r="E24" s="222"/>
      <c r="F24" s="222"/>
      <c r="G24" s="222"/>
      <c r="H24" s="222"/>
      <c r="I24" s="222"/>
      <c r="J24" s="223"/>
      <c r="K24" s="223"/>
      <c r="L24" s="223"/>
      <c r="M24" s="223"/>
      <c r="N24" s="223"/>
      <c r="O24" s="221">
        <v>0</v>
      </c>
      <c r="P24" s="21"/>
      <c r="Q24" s="21"/>
      <c r="R24" s="184"/>
      <c r="S24" s="123"/>
      <c r="T24" s="124"/>
      <c r="U24" s="419"/>
      <c r="V24" s="409"/>
    </row>
    <row r="25" spans="1:22" s="76" customFormat="1" ht="14.25" customHeight="1">
      <c r="A25" s="407">
        <v>2</v>
      </c>
      <c r="B25" s="407" t="s">
        <v>84</v>
      </c>
      <c r="C25" s="186">
        <v>2017</v>
      </c>
      <c r="D25" s="221">
        <f t="shared" si="0"/>
        <v>120</v>
      </c>
      <c r="E25" s="222"/>
      <c r="F25" s="222"/>
      <c r="G25" s="222"/>
      <c r="H25" s="222"/>
      <c r="I25" s="222"/>
      <c r="J25" s="223"/>
      <c r="K25" s="223"/>
      <c r="L25" s="223"/>
      <c r="M25" s="223"/>
      <c r="N25" s="223"/>
      <c r="O25" s="221">
        <v>120</v>
      </c>
      <c r="P25" s="21"/>
      <c r="Q25" s="21"/>
      <c r="R25" s="184"/>
      <c r="S25" s="422" t="s">
        <v>30</v>
      </c>
      <c r="T25" s="423"/>
      <c r="U25" s="417"/>
      <c r="V25" s="407" t="s">
        <v>85</v>
      </c>
    </row>
    <row r="26" spans="1:22" s="76" customFormat="1" ht="24" customHeight="1">
      <c r="A26" s="408"/>
      <c r="B26" s="408"/>
      <c r="C26" s="349">
        <v>2018</v>
      </c>
      <c r="D26" s="429">
        <f t="shared" si="0"/>
        <v>15.052</v>
      </c>
      <c r="E26" s="222"/>
      <c r="F26" s="222"/>
      <c r="G26" s="222"/>
      <c r="H26" s="222"/>
      <c r="I26" s="222"/>
      <c r="J26" s="222"/>
      <c r="K26" s="224"/>
      <c r="L26" s="224"/>
      <c r="M26" s="224"/>
      <c r="N26" s="224"/>
      <c r="O26" s="429">
        <v>15.052</v>
      </c>
      <c r="P26" s="349"/>
      <c r="Q26" s="21"/>
      <c r="R26" s="21"/>
      <c r="S26" s="424"/>
      <c r="T26" s="425"/>
      <c r="U26" s="418"/>
      <c r="V26" s="408"/>
    </row>
    <row r="27" spans="1:22" s="76" customFormat="1" ht="25.5" customHeight="1" hidden="1">
      <c r="A27" s="408"/>
      <c r="B27" s="408"/>
      <c r="C27" s="349"/>
      <c r="D27" s="429"/>
      <c r="E27" s="222"/>
      <c r="F27" s="222"/>
      <c r="G27" s="222"/>
      <c r="H27" s="222"/>
      <c r="I27" s="222"/>
      <c r="J27" s="222"/>
      <c r="K27" s="224"/>
      <c r="L27" s="224"/>
      <c r="M27" s="224"/>
      <c r="N27" s="224"/>
      <c r="O27" s="429"/>
      <c r="P27" s="349"/>
      <c r="Q27" s="21"/>
      <c r="R27" s="21"/>
      <c r="S27" s="424"/>
      <c r="T27" s="425"/>
      <c r="U27" s="418"/>
      <c r="V27" s="408"/>
    </row>
    <row r="28" spans="1:22" s="76" customFormat="1" ht="14.25">
      <c r="A28" s="408"/>
      <c r="B28" s="408"/>
      <c r="C28" s="186">
        <v>2019</v>
      </c>
      <c r="D28" s="221">
        <f aca="true" t="shared" si="1" ref="D28:D40">O28</f>
        <v>62.5</v>
      </c>
      <c r="E28" s="222"/>
      <c r="F28" s="222"/>
      <c r="G28" s="222"/>
      <c r="H28" s="222"/>
      <c r="I28" s="222"/>
      <c r="J28" s="222"/>
      <c r="K28" s="224"/>
      <c r="L28" s="224"/>
      <c r="M28" s="224"/>
      <c r="N28" s="224"/>
      <c r="O28" s="221">
        <v>62.5</v>
      </c>
      <c r="P28" s="21"/>
      <c r="Q28" s="21"/>
      <c r="R28" s="21"/>
      <c r="S28" s="424"/>
      <c r="T28" s="425"/>
      <c r="U28" s="418"/>
      <c r="V28" s="408"/>
    </row>
    <row r="29" spans="1:22" s="76" customFormat="1" ht="18" customHeight="1">
      <c r="A29" s="408"/>
      <c r="B29" s="408"/>
      <c r="C29" s="186">
        <v>2020</v>
      </c>
      <c r="D29" s="221">
        <f t="shared" si="1"/>
        <v>15</v>
      </c>
      <c r="E29" s="222"/>
      <c r="F29" s="222"/>
      <c r="G29" s="222"/>
      <c r="H29" s="222"/>
      <c r="I29" s="222"/>
      <c r="J29" s="222"/>
      <c r="K29" s="224"/>
      <c r="L29" s="224"/>
      <c r="M29" s="224"/>
      <c r="N29" s="224"/>
      <c r="O29" s="221">
        <v>15</v>
      </c>
      <c r="P29" s="21"/>
      <c r="Q29" s="21"/>
      <c r="R29" s="21"/>
      <c r="S29" s="424"/>
      <c r="T29" s="425"/>
      <c r="U29" s="418"/>
      <c r="V29" s="408"/>
    </row>
    <row r="30" spans="1:22" s="76" customFormat="1" ht="15.75" customHeight="1">
      <c r="A30" s="408"/>
      <c r="B30" s="408"/>
      <c r="C30" s="186">
        <v>2021</v>
      </c>
      <c r="D30" s="221">
        <f t="shared" si="1"/>
        <v>50</v>
      </c>
      <c r="E30" s="222"/>
      <c r="F30" s="222"/>
      <c r="G30" s="222"/>
      <c r="H30" s="222"/>
      <c r="I30" s="222"/>
      <c r="J30" s="222"/>
      <c r="K30" s="224"/>
      <c r="L30" s="224"/>
      <c r="M30" s="224"/>
      <c r="N30" s="224"/>
      <c r="O30" s="221">
        <v>50</v>
      </c>
      <c r="P30" s="21"/>
      <c r="Q30" s="21"/>
      <c r="R30" s="21"/>
      <c r="S30" s="424"/>
      <c r="T30" s="425"/>
      <c r="U30" s="418"/>
      <c r="V30" s="408"/>
    </row>
    <row r="31" spans="1:22" s="76" customFormat="1" ht="15.75" customHeight="1">
      <c r="A31" s="408"/>
      <c r="B31" s="408"/>
      <c r="C31" s="186">
        <v>2022</v>
      </c>
      <c r="D31" s="221">
        <f>O31</f>
        <v>0</v>
      </c>
      <c r="E31" s="222"/>
      <c r="F31" s="222"/>
      <c r="G31" s="222"/>
      <c r="H31" s="222"/>
      <c r="I31" s="222"/>
      <c r="J31" s="222"/>
      <c r="K31" s="224"/>
      <c r="L31" s="224"/>
      <c r="M31" s="224"/>
      <c r="N31" s="224"/>
      <c r="O31" s="221">
        <v>0</v>
      </c>
      <c r="P31" s="21"/>
      <c r="Q31" s="21"/>
      <c r="R31" s="21"/>
      <c r="S31" s="424"/>
      <c r="T31" s="425"/>
      <c r="U31" s="418"/>
      <c r="V31" s="408"/>
    </row>
    <row r="32" spans="1:22" s="76" customFormat="1" ht="15.75" customHeight="1">
      <c r="A32" s="409"/>
      <c r="B32" s="409"/>
      <c r="C32" s="186">
        <v>2023</v>
      </c>
      <c r="D32" s="221">
        <f>O32</f>
        <v>0</v>
      </c>
      <c r="E32" s="222"/>
      <c r="F32" s="222"/>
      <c r="G32" s="222"/>
      <c r="H32" s="222"/>
      <c r="I32" s="222"/>
      <c r="J32" s="222"/>
      <c r="K32" s="224"/>
      <c r="L32" s="224"/>
      <c r="M32" s="224"/>
      <c r="N32" s="224"/>
      <c r="O32" s="221">
        <v>0</v>
      </c>
      <c r="P32" s="21"/>
      <c r="Q32" s="21"/>
      <c r="R32" s="21"/>
      <c r="S32" s="426"/>
      <c r="T32" s="427"/>
      <c r="U32" s="419"/>
      <c r="V32" s="409"/>
    </row>
    <row r="33" spans="1:22" s="76" customFormat="1" ht="21" customHeight="1">
      <c r="A33" s="407">
        <v>3</v>
      </c>
      <c r="B33" s="407" t="s">
        <v>86</v>
      </c>
      <c r="C33" s="186">
        <v>2017</v>
      </c>
      <c r="D33" s="221">
        <f t="shared" si="1"/>
        <v>40</v>
      </c>
      <c r="E33" s="221"/>
      <c r="F33" s="221"/>
      <c r="G33" s="221"/>
      <c r="H33" s="221"/>
      <c r="I33" s="221"/>
      <c r="J33" s="221"/>
      <c r="K33" s="224"/>
      <c r="L33" s="224"/>
      <c r="M33" s="224"/>
      <c r="N33" s="224"/>
      <c r="O33" s="221">
        <v>40</v>
      </c>
      <c r="P33" s="21"/>
      <c r="Q33" s="21"/>
      <c r="R33" s="21"/>
      <c r="S33" s="186"/>
      <c r="T33" s="422" t="s">
        <v>30</v>
      </c>
      <c r="U33" s="417"/>
      <c r="V33" s="407" t="s">
        <v>87</v>
      </c>
    </row>
    <row r="34" spans="1:22" s="76" customFormat="1" ht="14.25" customHeight="1">
      <c r="A34" s="408"/>
      <c r="B34" s="408"/>
      <c r="C34" s="186">
        <v>2018</v>
      </c>
      <c r="D34" s="225">
        <f t="shared" si="1"/>
        <v>180.648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5">
        <f>180.648</f>
        <v>180.648</v>
      </c>
      <c r="P34" s="21"/>
      <c r="Q34" s="21"/>
      <c r="R34" s="21"/>
      <c r="S34" s="21"/>
      <c r="T34" s="424"/>
      <c r="U34" s="418"/>
      <c r="V34" s="408"/>
    </row>
    <row r="35" spans="1:22" s="76" customFormat="1" ht="21" customHeight="1">
      <c r="A35" s="408"/>
      <c r="B35" s="408"/>
      <c r="C35" s="23">
        <v>2019</v>
      </c>
      <c r="D35" s="225">
        <f t="shared" si="1"/>
        <v>157.535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5">
        <f>160.436-2.901</f>
        <v>157.535</v>
      </c>
      <c r="P35" s="21"/>
      <c r="Q35" s="21"/>
      <c r="R35" s="21"/>
      <c r="S35" s="21"/>
      <c r="T35" s="424"/>
      <c r="U35" s="418"/>
      <c r="V35" s="408"/>
    </row>
    <row r="36" spans="1:22" s="76" customFormat="1" ht="24" customHeight="1">
      <c r="A36" s="408"/>
      <c r="B36" s="408"/>
      <c r="C36" s="23">
        <v>2020</v>
      </c>
      <c r="D36" s="225">
        <f t="shared" si="1"/>
        <v>110.7</v>
      </c>
      <c r="E36" s="226"/>
      <c r="F36" s="226"/>
      <c r="G36" s="226"/>
      <c r="H36" s="226"/>
      <c r="I36" s="226"/>
      <c r="J36" s="226"/>
      <c r="K36" s="227"/>
      <c r="L36" s="227"/>
      <c r="M36" s="227"/>
      <c r="N36" s="227"/>
      <c r="O36" s="225">
        <v>110.7</v>
      </c>
      <c r="P36" s="21"/>
      <c r="Q36" s="21"/>
      <c r="R36" s="21"/>
      <c r="S36" s="21"/>
      <c r="T36" s="424"/>
      <c r="U36" s="418"/>
      <c r="V36" s="408"/>
    </row>
    <row r="37" spans="1:22" s="76" customFormat="1" ht="20.25" customHeight="1">
      <c r="A37" s="408"/>
      <c r="B37" s="408"/>
      <c r="C37" s="23">
        <v>2021</v>
      </c>
      <c r="D37" s="225">
        <f t="shared" si="1"/>
        <v>70</v>
      </c>
      <c r="E37" s="226"/>
      <c r="F37" s="226"/>
      <c r="G37" s="226"/>
      <c r="H37" s="226"/>
      <c r="I37" s="226"/>
      <c r="J37" s="226"/>
      <c r="K37" s="227"/>
      <c r="L37" s="227"/>
      <c r="M37" s="227"/>
      <c r="N37" s="227"/>
      <c r="O37" s="225">
        <v>70</v>
      </c>
      <c r="P37" s="21"/>
      <c r="Q37" s="21"/>
      <c r="R37" s="21"/>
      <c r="S37" s="21"/>
      <c r="T37" s="424"/>
      <c r="U37" s="418"/>
      <c r="V37" s="408"/>
    </row>
    <row r="38" spans="1:22" s="76" customFormat="1" ht="20.25" customHeight="1">
      <c r="A38" s="408"/>
      <c r="B38" s="408"/>
      <c r="C38" s="23">
        <v>2022</v>
      </c>
      <c r="D38" s="225">
        <f>O38</f>
        <v>0</v>
      </c>
      <c r="E38" s="226"/>
      <c r="F38" s="226"/>
      <c r="G38" s="226"/>
      <c r="H38" s="226"/>
      <c r="I38" s="226"/>
      <c r="J38" s="226"/>
      <c r="K38" s="227"/>
      <c r="L38" s="227"/>
      <c r="M38" s="227"/>
      <c r="N38" s="227"/>
      <c r="O38" s="225">
        <v>0</v>
      </c>
      <c r="P38" s="21"/>
      <c r="Q38" s="21"/>
      <c r="R38" s="21"/>
      <c r="S38" s="21"/>
      <c r="T38" s="424"/>
      <c r="U38" s="418"/>
      <c r="V38" s="408"/>
    </row>
    <row r="39" spans="1:22" s="76" customFormat="1" ht="20.25" customHeight="1">
      <c r="A39" s="409"/>
      <c r="B39" s="409"/>
      <c r="C39" s="23">
        <v>2023</v>
      </c>
      <c r="D39" s="225">
        <f>O39</f>
        <v>0</v>
      </c>
      <c r="E39" s="226"/>
      <c r="F39" s="226"/>
      <c r="G39" s="226"/>
      <c r="H39" s="226"/>
      <c r="I39" s="226"/>
      <c r="J39" s="226"/>
      <c r="K39" s="227"/>
      <c r="L39" s="227"/>
      <c r="M39" s="227"/>
      <c r="N39" s="227"/>
      <c r="O39" s="225">
        <v>0</v>
      </c>
      <c r="P39" s="21"/>
      <c r="Q39" s="21"/>
      <c r="R39" s="21"/>
      <c r="S39" s="21"/>
      <c r="T39" s="426"/>
      <c r="U39" s="419"/>
      <c r="V39" s="409"/>
    </row>
    <row r="40" spans="1:22" s="76" customFormat="1" ht="24" customHeight="1">
      <c r="A40" s="407" t="s">
        <v>46</v>
      </c>
      <c r="B40" s="443" t="s">
        <v>88</v>
      </c>
      <c r="C40" s="23">
        <v>2017</v>
      </c>
      <c r="D40" s="225">
        <f t="shared" si="1"/>
        <v>163.5</v>
      </c>
      <c r="E40" s="226"/>
      <c r="F40" s="226"/>
      <c r="G40" s="226"/>
      <c r="H40" s="226"/>
      <c r="I40" s="226"/>
      <c r="J40" s="226"/>
      <c r="K40" s="227"/>
      <c r="L40" s="227"/>
      <c r="M40" s="227"/>
      <c r="N40" s="227"/>
      <c r="O40" s="225">
        <v>163.5</v>
      </c>
      <c r="P40" s="21"/>
      <c r="Q40" s="21"/>
      <c r="R40" s="21"/>
      <c r="S40" s="21"/>
      <c r="T40" s="186"/>
      <c r="U40" s="407" t="s">
        <v>30</v>
      </c>
      <c r="V40" s="407" t="s">
        <v>89</v>
      </c>
    </row>
    <row r="41" spans="1:22" s="76" customFormat="1" ht="28.5" customHeight="1">
      <c r="A41" s="408"/>
      <c r="B41" s="444"/>
      <c r="C41" s="186">
        <v>2018</v>
      </c>
      <c r="D41" s="221">
        <f aca="true" t="shared" si="2" ref="D41:D47">O41</f>
        <v>144.8</v>
      </c>
      <c r="E41" s="222"/>
      <c r="F41" s="222"/>
      <c r="G41" s="222"/>
      <c r="H41" s="222"/>
      <c r="I41" s="222"/>
      <c r="J41" s="222"/>
      <c r="K41" s="429"/>
      <c r="L41" s="429"/>
      <c r="M41" s="429"/>
      <c r="N41" s="429"/>
      <c r="O41" s="221">
        <f>144.8</f>
        <v>144.8</v>
      </c>
      <c r="P41" s="21"/>
      <c r="Q41" s="21"/>
      <c r="R41" s="21"/>
      <c r="S41" s="21"/>
      <c r="T41" s="21"/>
      <c r="U41" s="408"/>
      <c r="V41" s="408"/>
    </row>
    <row r="42" spans="1:22" s="76" customFormat="1" ht="14.25">
      <c r="A42" s="408"/>
      <c r="B42" s="444"/>
      <c r="C42" s="186">
        <v>2019</v>
      </c>
      <c r="D42" s="221">
        <f t="shared" si="2"/>
        <v>166.465</v>
      </c>
      <c r="E42" s="222"/>
      <c r="F42" s="222"/>
      <c r="G42" s="222"/>
      <c r="H42" s="222"/>
      <c r="I42" s="222"/>
      <c r="J42" s="222"/>
      <c r="K42" s="429"/>
      <c r="L42" s="429"/>
      <c r="M42" s="429"/>
      <c r="N42" s="429"/>
      <c r="O42" s="221">
        <v>166.465</v>
      </c>
      <c r="P42" s="21"/>
      <c r="Q42" s="21"/>
      <c r="R42" s="21"/>
      <c r="S42" s="21"/>
      <c r="T42" s="21"/>
      <c r="U42" s="408"/>
      <c r="V42" s="408"/>
    </row>
    <row r="43" spans="1:22" s="76" customFormat="1" ht="18.75" customHeight="1">
      <c r="A43" s="408"/>
      <c r="B43" s="444"/>
      <c r="C43" s="186">
        <v>2020</v>
      </c>
      <c r="D43" s="221">
        <f t="shared" si="2"/>
        <v>269.4825</v>
      </c>
      <c r="E43" s="222"/>
      <c r="F43" s="222"/>
      <c r="G43" s="222"/>
      <c r="H43" s="222"/>
      <c r="I43" s="222"/>
      <c r="J43" s="222"/>
      <c r="K43" s="429"/>
      <c r="L43" s="429"/>
      <c r="M43" s="429"/>
      <c r="N43" s="429"/>
      <c r="O43" s="221">
        <f>270.3-0.05-0.7675</f>
        <v>269.4825</v>
      </c>
      <c r="P43" s="21"/>
      <c r="Q43" s="21"/>
      <c r="R43" s="21"/>
      <c r="S43" s="21"/>
      <c r="T43" s="21"/>
      <c r="U43" s="408"/>
      <c r="V43" s="408"/>
    </row>
    <row r="44" spans="1:22" s="76" customFormat="1" ht="18.75" customHeight="1">
      <c r="A44" s="408"/>
      <c r="B44" s="444"/>
      <c r="C44" s="186">
        <v>2021</v>
      </c>
      <c r="D44" s="221">
        <f t="shared" si="2"/>
        <v>125</v>
      </c>
      <c r="E44" s="222"/>
      <c r="F44" s="222"/>
      <c r="G44" s="222"/>
      <c r="H44" s="222"/>
      <c r="I44" s="222"/>
      <c r="J44" s="222"/>
      <c r="K44" s="221"/>
      <c r="L44" s="221"/>
      <c r="M44" s="221"/>
      <c r="N44" s="221"/>
      <c r="O44" s="221">
        <v>125</v>
      </c>
      <c r="P44" s="21"/>
      <c r="Q44" s="21"/>
      <c r="R44" s="21"/>
      <c r="S44" s="21"/>
      <c r="T44" s="21"/>
      <c r="U44" s="408"/>
      <c r="V44" s="408"/>
    </row>
    <row r="45" spans="1:22" s="76" customFormat="1" ht="18.75" customHeight="1">
      <c r="A45" s="408"/>
      <c r="B45" s="444"/>
      <c r="C45" s="186">
        <v>2022</v>
      </c>
      <c r="D45" s="221">
        <f t="shared" si="2"/>
        <v>0</v>
      </c>
      <c r="E45" s="222"/>
      <c r="F45" s="222"/>
      <c r="G45" s="222"/>
      <c r="H45" s="222"/>
      <c r="I45" s="222"/>
      <c r="J45" s="222"/>
      <c r="K45" s="221"/>
      <c r="L45" s="221"/>
      <c r="M45" s="221"/>
      <c r="N45" s="221"/>
      <c r="O45" s="221">
        <v>0</v>
      </c>
      <c r="P45" s="21"/>
      <c r="Q45" s="21"/>
      <c r="R45" s="21"/>
      <c r="S45" s="21"/>
      <c r="T45" s="21"/>
      <c r="U45" s="408"/>
      <c r="V45" s="408"/>
    </row>
    <row r="46" spans="1:22" s="76" customFormat="1" ht="18.75" customHeight="1">
      <c r="A46" s="409"/>
      <c r="B46" s="445"/>
      <c r="C46" s="186">
        <v>2023</v>
      </c>
      <c r="D46" s="221">
        <f>O46</f>
        <v>0</v>
      </c>
      <c r="E46" s="222"/>
      <c r="F46" s="222"/>
      <c r="G46" s="222"/>
      <c r="H46" s="222"/>
      <c r="I46" s="222"/>
      <c r="J46" s="222"/>
      <c r="K46" s="221"/>
      <c r="L46" s="221"/>
      <c r="M46" s="221"/>
      <c r="N46" s="221"/>
      <c r="O46" s="221">
        <v>0</v>
      </c>
      <c r="P46" s="21"/>
      <c r="Q46" s="21"/>
      <c r="R46" s="21"/>
      <c r="S46" s="21"/>
      <c r="T46" s="21"/>
      <c r="U46" s="409"/>
      <c r="V46" s="409"/>
    </row>
    <row r="47" spans="1:22" s="76" customFormat="1" ht="18.75" customHeight="1">
      <c r="A47" s="407" t="s">
        <v>51</v>
      </c>
      <c r="B47" s="407" t="s">
        <v>90</v>
      </c>
      <c r="C47" s="186">
        <v>2017</v>
      </c>
      <c r="D47" s="221">
        <f t="shared" si="2"/>
        <v>10</v>
      </c>
      <c r="E47" s="222"/>
      <c r="F47" s="222"/>
      <c r="G47" s="222"/>
      <c r="H47" s="222"/>
      <c r="I47" s="222"/>
      <c r="J47" s="222"/>
      <c r="K47" s="221"/>
      <c r="L47" s="221"/>
      <c r="M47" s="221"/>
      <c r="N47" s="221"/>
      <c r="O47" s="221">
        <v>10</v>
      </c>
      <c r="P47" s="21"/>
      <c r="Q47" s="21"/>
      <c r="R47" s="21"/>
      <c r="S47" s="21"/>
      <c r="T47" s="21"/>
      <c r="U47" s="407" t="s">
        <v>30</v>
      </c>
      <c r="V47" s="407" t="s">
        <v>91</v>
      </c>
    </row>
    <row r="48" spans="1:22" s="76" customFormat="1" ht="16.5" customHeight="1">
      <c r="A48" s="408"/>
      <c r="B48" s="408"/>
      <c r="C48" s="186">
        <v>2018</v>
      </c>
      <c r="D48" s="221">
        <v>10</v>
      </c>
      <c r="E48" s="222"/>
      <c r="F48" s="222"/>
      <c r="G48" s="222"/>
      <c r="H48" s="222"/>
      <c r="I48" s="222"/>
      <c r="J48" s="222"/>
      <c r="K48" s="222"/>
      <c r="L48" s="429"/>
      <c r="M48" s="429"/>
      <c r="N48" s="429"/>
      <c r="O48" s="221">
        <v>10</v>
      </c>
      <c r="P48" s="349"/>
      <c r="Q48" s="349"/>
      <c r="R48" s="349"/>
      <c r="S48" s="349"/>
      <c r="T48" s="349"/>
      <c r="U48" s="408"/>
      <c r="V48" s="408"/>
    </row>
    <row r="49" spans="1:22" s="76" customFormat="1" ht="14.25">
      <c r="A49" s="408"/>
      <c r="B49" s="408"/>
      <c r="C49" s="186">
        <v>2019</v>
      </c>
      <c r="D49" s="221">
        <f>O49</f>
        <v>0</v>
      </c>
      <c r="E49" s="222"/>
      <c r="F49" s="222"/>
      <c r="G49" s="222"/>
      <c r="H49" s="222"/>
      <c r="I49" s="222"/>
      <c r="J49" s="222"/>
      <c r="K49" s="222"/>
      <c r="L49" s="429"/>
      <c r="M49" s="429"/>
      <c r="N49" s="429"/>
      <c r="O49" s="221">
        <v>0</v>
      </c>
      <c r="P49" s="349"/>
      <c r="Q49" s="349"/>
      <c r="R49" s="349"/>
      <c r="S49" s="349"/>
      <c r="T49" s="349"/>
      <c r="U49" s="408"/>
      <c r="V49" s="408"/>
    </row>
    <row r="50" spans="1:22" s="76" customFormat="1" ht="21" customHeight="1">
      <c r="A50" s="408"/>
      <c r="B50" s="408"/>
      <c r="C50" s="186">
        <v>2020</v>
      </c>
      <c r="D50" s="221">
        <v>15</v>
      </c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1">
        <v>0</v>
      </c>
      <c r="P50" s="349"/>
      <c r="Q50" s="349"/>
      <c r="R50" s="349"/>
      <c r="S50" s="349"/>
      <c r="T50" s="349"/>
      <c r="U50" s="408"/>
      <c r="V50" s="408"/>
    </row>
    <row r="51" spans="1:22" s="76" customFormat="1" ht="21" customHeight="1">
      <c r="A51" s="408"/>
      <c r="B51" s="408"/>
      <c r="C51" s="186">
        <v>2021</v>
      </c>
      <c r="D51" s="221">
        <f>O51</f>
        <v>0</v>
      </c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1">
        <v>0</v>
      </c>
      <c r="P51" s="186"/>
      <c r="Q51" s="186"/>
      <c r="R51" s="186"/>
      <c r="S51" s="186"/>
      <c r="T51" s="186"/>
      <c r="U51" s="408"/>
      <c r="V51" s="408"/>
    </row>
    <row r="52" spans="1:22" s="76" customFormat="1" ht="21" customHeight="1">
      <c r="A52" s="408"/>
      <c r="B52" s="408"/>
      <c r="C52" s="186">
        <v>2022</v>
      </c>
      <c r="D52" s="221">
        <f>O52</f>
        <v>0</v>
      </c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1">
        <v>0</v>
      </c>
      <c r="P52" s="186"/>
      <c r="Q52" s="186"/>
      <c r="R52" s="186"/>
      <c r="S52" s="186"/>
      <c r="T52" s="186"/>
      <c r="U52" s="408"/>
      <c r="V52" s="408"/>
    </row>
    <row r="53" spans="1:22" s="76" customFormat="1" ht="21" customHeight="1">
      <c r="A53" s="409"/>
      <c r="B53" s="409"/>
      <c r="C53" s="186">
        <v>2023</v>
      </c>
      <c r="D53" s="221">
        <f>O53</f>
        <v>0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1">
        <v>0</v>
      </c>
      <c r="P53" s="186"/>
      <c r="Q53" s="186"/>
      <c r="R53" s="186"/>
      <c r="S53" s="186"/>
      <c r="T53" s="186"/>
      <c r="U53" s="409"/>
      <c r="V53" s="409"/>
    </row>
    <row r="54" spans="1:22" s="76" customFormat="1" ht="21" customHeight="1">
      <c r="A54" s="407" t="s">
        <v>388</v>
      </c>
      <c r="B54" s="407" t="s">
        <v>389</v>
      </c>
      <c r="C54" s="186">
        <v>2017</v>
      </c>
      <c r="D54" s="221">
        <v>0</v>
      </c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1">
        <v>0</v>
      </c>
      <c r="P54" s="186"/>
      <c r="Q54" s="186"/>
      <c r="R54" s="186"/>
      <c r="S54" s="186"/>
      <c r="T54" s="186"/>
      <c r="U54" s="197"/>
      <c r="V54" s="197"/>
    </row>
    <row r="55" spans="1:22" s="76" customFormat="1" ht="21" customHeight="1">
      <c r="A55" s="408"/>
      <c r="B55" s="408"/>
      <c r="C55" s="186">
        <v>2018</v>
      </c>
      <c r="D55" s="221">
        <v>0</v>
      </c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1">
        <v>0</v>
      </c>
      <c r="P55" s="186"/>
      <c r="Q55" s="186"/>
      <c r="R55" s="186"/>
      <c r="S55" s="186"/>
      <c r="T55" s="186"/>
      <c r="U55" s="197"/>
      <c r="V55" s="197"/>
    </row>
    <row r="56" spans="1:22" s="76" customFormat="1" ht="21" customHeight="1">
      <c r="A56" s="408"/>
      <c r="B56" s="408"/>
      <c r="C56" s="186">
        <v>2019</v>
      </c>
      <c r="D56" s="221">
        <v>0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1">
        <v>0</v>
      </c>
      <c r="P56" s="186"/>
      <c r="Q56" s="186"/>
      <c r="R56" s="186"/>
      <c r="S56" s="186"/>
      <c r="T56" s="186"/>
      <c r="U56" s="197"/>
      <c r="V56" s="197"/>
    </row>
    <row r="57" spans="1:22" s="76" customFormat="1" ht="21" customHeight="1">
      <c r="A57" s="408"/>
      <c r="B57" s="408"/>
      <c r="C57" s="186">
        <v>2020</v>
      </c>
      <c r="D57" s="221">
        <v>0</v>
      </c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1">
        <v>0</v>
      </c>
      <c r="P57" s="186"/>
      <c r="Q57" s="186"/>
      <c r="R57" s="186"/>
      <c r="S57" s="186"/>
      <c r="T57" s="186"/>
      <c r="U57" s="197"/>
      <c r="V57" s="197"/>
    </row>
    <row r="58" spans="1:22" s="76" customFormat="1" ht="21" customHeight="1">
      <c r="A58" s="408"/>
      <c r="B58" s="408"/>
      <c r="C58" s="186">
        <v>2021</v>
      </c>
      <c r="D58" s="221">
        <f>O58</f>
        <v>30</v>
      </c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1">
        <v>30</v>
      </c>
      <c r="P58" s="186"/>
      <c r="Q58" s="186"/>
      <c r="R58" s="186"/>
      <c r="S58" s="186"/>
      <c r="T58" s="186"/>
      <c r="U58" s="197"/>
      <c r="V58" s="197"/>
    </row>
    <row r="59" spans="1:22" s="76" customFormat="1" ht="21" customHeight="1">
      <c r="A59" s="408"/>
      <c r="B59" s="408"/>
      <c r="C59" s="186">
        <v>2022</v>
      </c>
      <c r="D59" s="221">
        <v>0</v>
      </c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1">
        <v>0</v>
      </c>
      <c r="P59" s="186"/>
      <c r="Q59" s="186"/>
      <c r="R59" s="186"/>
      <c r="S59" s="186"/>
      <c r="T59" s="186"/>
      <c r="U59" s="197"/>
      <c r="V59" s="197"/>
    </row>
    <row r="60" spans="1:22" s="76" customFormat="1" ht="21" customHeight="1">
      <c r="A60" s="409"/>
      <c r="B60" s="409"/>
      <c r="C60" s="186">
        <v>2023</v>
      </c>
      <c r="D60" s="221">
        <v>0</v>
      </c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1">
        <v>0</v>
      </c>
      <c r="P60" s="186"/>
      <c r="Q60" s="186"/>
      <c r="R60" s="186"/>
      <c r="S60" s="186"/>
      <c r="T60" s="186"/>
      <c r="U60" s="197"/>
      <c r="V60" s="197"/>
    </row>
    <row r="61" spans="1:22" s="76" customFormat="1" ht="21" customHeight="1">
      <c r="A61" s="407"/>
      <c r="B61" s="440" t="s">
        <v>197</v>
      </c>
      <c r="C61" s="22">
        <v>2017</v>
      </c>
      <c r="D61" s="228">
        <f>O61</f>
        <v>358.5</v>
      </c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8">
        <f>O47+O40+O33+O25+O18+O72</f>
        <v>358.5</v>
      </c>
      <c r="P61" s="186"/>
      <c r="Q61" s="186"/>
      <c r="R61" s="186"/>
      <c r="S61" s="186"/>
      <c r="T61" s="186"/>
      <c r="U61" s="186"/>
      <c r="V61" s="186"/>
    </row>
    <row r="62" spans="1:22" s="76" customFormat="1" ht="21" customHeight="1">
      <c r="A62" s="408"/>
      <c r="B62" s="441"/>
      <c r="C62" s="22">
        <v>2018</v>
      </c>
      <c r="D62" s="228">
        <f>SUM(E62:O62)</f>
        <v>358.5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8">
        <f>SUM(O19+O26+O34+O41+O48+O73)</f>
        <v>358.5</v>
      </c>
      <c r="P62" s="186"/>
      <c r="Q62" s="186"/>
      <c r="R62" s="186"/>
      <c r="S62" s="186"/>
      <c r="T62" s="186"/>
      <c r="U62" s="186"/>
      <c r="V62" s="186"/>
    </row>
    <row r="63" spans="1:22" s="76" customFormat="1" ht="21" customHeight="1">
      <c r="A63" s="408"/>
      <c r="B63" s="441"/>
      <c r="C63" s="22">
        <v>2019</v>
      </c>
      <c r="D63" s="228">
        <f>D49+D42+D35+D28+D20</f>
        <v>400</v>
      </c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8">
        <f>SUM(O20+O28+O35+O42+O49)</f>
        <v>400</v>
      </c>
      <c r="P63" s="186"/>
      <c r="Q63" s="186"/>
      <c r="R63" s="186"/>
      <c r="S63" s="186"/>
      <c r="T63" s="186"/>
      <c r="U63" s="186"/>
      <c r="V63" s="186"/>
    </row>
    <row r="64" spans="1:22" s="76" customFormat="1" ht="21" customHeight="1">
      <c r="A64" s="408"/>
      <c r="B64" s="441"/>
      <c r="C64" s="22">
        <v>2020</v>
      </c>
      <c r="D64" s="228">
        <f>SUM(E64:O64)</f>
        <v>399.1825</v>
      </c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8">
        <f>O50+O43+O36+O29+O21</f>
        <v>399.1825</v>
      </c>
      <c r="P64" s="186"/>
      <c r="Q64" s="186"/>
      <c r="R64" s="186"/>
      <c r="S64" s="186"/>
      <c r="T64" s="186"/>
      <c r="U64" s="186"/>
      <c r="V64" s="186"/>
    </row>
    <row r="65" spans="1:22" s="76" customFormat="1" ht="21" customHeight="1">
      <c r="A65" s="408"/>
      <c r="B65" s="441"/>
      <c r="C65" s="22">
        <v>2021</v>
      </c>
      <c r="D65" s="228">
        <f>O65</f>
        <v>300</v>
      </c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8">
        <f>O51+O44+O37+O30+O22+O58</f>
        <v>300</v>
      </c>
      <c r="P65" s="186"/>
      <c r="Q65" s="186"/>
      <c r="R65" s="186"/>
      <c r="S65" s="186"/>
      <c r="T65" s="186"/>
      <c r="U65" s="186"/>
      <c r="V65" s="186"/>
    </row>
    <row r="66" spans="1:22" s="76" customFormat="1" ht="21" customHeight="1">
      <c r="A66" s="408"/>
      <c r="B66" s="441"/>
      <c r="C66" s="22">
        <v>2022</v>
      </c>
      <c r="D66" s="228">
        <f>O66</f>
        <v>0</v>
      </c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8">
        <f>O52+O45+O38+O31+O23</f>
        <v>0</v>
      </c>
      <c r="P66" s="186"/>
      <c r="Q66" s="186"/>
      <c r="R66" s="186"/>
      <c r="S66" s="186"/>
      <c r="T66" s="186"/>
      <c r="U66" s="186"/>
      <c r="V66" s="186"/>
    </row>
    <row r="67" spans="1:22" s="76" customFormat="1" ht="21" customHeight="1">
      <c r="A67" s="409"/>
      <c r="B67" s="442"/>
      <c r="C67" s="22">
        <v>2023</v>
      </c>
      <c r="D67" s="228">
        <f>O67</f>
        <v>0</v>
      </c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8">
        <f>O53+O46+O39+O32+O24</f>
        <v>0</v>
      </c>
      <c r="P67" s="186"/>
      <c r="Q67" s="186"/>
      <c r="R67" s="186"/>
      <c r="S67" s="186"/>
      <c r="T67" s="186"/>
      <c r="U67" s="186"/>
      <c r="V67" s="186"/>
    </row>
    <row r="68" spans="1:22" s="76" customFormat="1" ht="19.5" customHeight="1">
      <c r="A68" s="186"/>
      <c r="B68" s="22"/>
      <c r="C68" s="24" t="s">
        <v>374</v>
      </c>
      <c r="D68" s="228">
        <f>SUM(D61:D66)+D67</f>
        <v>1816.1825</v>
      </c>
      <c r="E68" s="230">
        <f>SUM(E62:E64)</f>
        <v>0</v>
      </c>
      <c r="F68" s="231"/>
      <c r="G68" s="231"/>
      <c r="H68" s="231"/>
      <c r="I68" s="231"/>
      <c r="J68" s="231"/>
      <c r="K68" s="231"/>
      <c r="L68" s="231"/>
      <c r="M68" s="231"/>
      <c r="N68" s="228">
        <v>430</v>
      </c>
      <c r="O68" s="230">
        <f>SUM(O61:O66)+O67</f>
        <v>1816.1825</v>
      </c>
      <c r="P68" s="25"/>
      <c r="Q68" s="25"/>
      <c r="R68" s="25"/>
      <c r="S68" s="25"/>
      <c r="T68" s="25"/>
      <c r="U68" s="25"/>
      <c r="V68" s="24"/>
    </row>
    <row r="69" spans="1:22" s="76" customFormat="1" ht="18.75" customHeight="1">
      <c r="A69" s="438" t="s">
        <v>94</v>
      </c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</row>
    <row r="70" spans="1:22" s="76" customFormat="1" ht="33" customHeight="1">
      <c r="A70" s="430" t="s">
        <v>186</v>
      </c>
      <c r="B70" s="432" t="s">
        <v>187</v>
      </c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4"/>
    </row>
    <row r="71" spans="1:22" s="76" customFormat="1" ht="18" customHeight="1" hidden="1">
      <c r="A71" s="431"/>
      <c r="B71" s="435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7"/>
    </row>
    <row r="72" spans="1:22" s="76" customFormat="1" ht="33" customHeight="1">
      <c r="A72" s="407" t="s">
        <v>9</v>
      </c>
      <c r="B72" s="407" t="s">
        <v>228</v>
      </c>
      <c r="C72" s="23">
        <v>2017</v>
      </c>
      <c r="D72" s="225">
        <f>O72</f>
        <v>0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5">
        <v>0</v>
      </c>
      <c r="P72" s="186"/>
      <c r="Q72" s="186"/>
      <c r="R72" s="186"/>
      <c r="S72" s="186"/>
      <c r="T72" s="186"/>
      <c r="U72" s="428" t="s">
        <v>240</v>
      </c>
      <c r="V72" s="349" t="s">
        <v>298</v>
      </c>
    </row>
    <row r="73" spans="1:22" s="76" customFormat="1" ht="14.25">
      <c r="A73" s="408"/>
      <c r="B73" s="408"/>
      <c r="C73" s="23">
        <v>2018</v>
      </c>
      <c r="D73" s="225">
        <f>O73</f>
        <v>0</v>
      </c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32">
        <v>0</v>
      </c>
      <c r="P73" s="186"/>
      <c r="Q73" s="186"/>
      <c r="R73" s="186"/>
      <c r="S73" s="186"/>
      <c r="T73" s="186"/>
      <c r="U73" s="428"/>
      <c r="V73" s="349"/>
    </row>
    <row r="74" spans="1:22" s="76" customFormat="1" ht="14.25">
      <c r="A74" s="408"/>
      <c r="B74" s="408"/>
      <c r="C74" s="23">
        <v>2019</v>
      </c>
      <c r="D74" s="225">
        <f>I74+O74+H74</f>
        <v>4643.849999999999</v>
      </c>
      <c r="E74" s="226"/>
      <c r="F74" s="226">
        <v>5000</v>
      </c>
      <c r="G74" s="226">
        <f>H74</f>
        <v>4407.4</v>
      </c>
      <c r="H74" s="226">
        <v>4407.4</v>
      </c>
      <c r="I74" s="225">
        <v>0</v>
      </c>
      <c r="J74" s="226"/>
      <c r="K74" s="226"/>
      <c r="L74" s="226"/>
      <c r="M74" s="226"/>
      <c r="N74" s="226"/>
      <c r="O74" s="233">
        <f>4.5+231.95</f>
        <v>236.45</v>
      </c>
      <c r="P74" s="186"/>
      <c r="Q74" s="186"/>
      <c r="R74" s="186"/>
      <c r="S74" s="186"/>
      <c r="T74" s="186"/>
      <c r="U74" s="428"/>
      <c r="V74" s="349"/>
    </row>
    <row r="75" spans="1:22" s="76" customFormat="1" ht="14.25" customHeight="1">
      <c r="A75" s="408"/>
      <c r="B75" s="408"/>
      <c r="C75" s="23">
        <v>2020</v>
      </c>
      <c r="D75" s="225">
        <f>I75+O75</f>
        <v>0</v>
      </c>
      <c r="E75" s="226"/>
      <c r="F75" s="226">
        <v>4000</v>
      </c>
      <c r="G75" s="226"/>
      <c r="H75" s="226"/>
      <c r="I75" s="225">
        <v>0</v>
      </c>
      <c r="J75" s="226"/>
      <c r="K75" s="226"/>
      <c r="L75" s="226"/>
      <c r="M75" s="226"/>
      <c r="N75" s="226"/>
      <c r="O75" s="233">
        <v>0</v>
      </c>
      <c r="P75" s="186"/>
      <c r="Q75" s="186"/>
      <c r="R75" s="186"/>
      <c r="S75" s="186"/>
      <c r="T75" s="186"/>
      <c r="U75" s="428"/>
      <c r="V75" s="349"/>
    </row>
    <row r="76" spans="1:22" s="76" customFormat="1" ht="14.25" customHeight="1">
      <c r="A76" s="408"/>
      <c r="B76" s="408"/>
      <c r="C76" s="23">
        <v>2021</v>
      </c>
      <c r="D76" s="225">
        <f>I76</f>
        <v>0</v>
      </c>
      <c r="E76" s="226"/>
      <c r="F76" s="226"/>
      <c r="G76" s="226"/>
      <c r="H76" s="226"/>
      <c r="I76" s="225">
        <v>0</v>
      </c>
      <c r="J76" s="226"/>
      <c r="K76" s="226"/>
      <c r="L76" s="226"/>
      <c r="M76" s="226"/>
      <c r="N76" s="226"/>
      <c r="O76" s="233">
        <v>0</v>
      </c>
      <c r="P76" s="186"/>
      <c r="Q76" s="186"/>
      <c r="R76" s="186"/>
      <c r="S76" s="186"/>
      <c r="T76" s="186"/>
      <c r="U76" s="428"/>
      <c r="V76" s="349"/>
    </row>
    <row r="77" spans="1:22" s="76" customFormat="1" ht="14.25" customHeight="1">
      <c r="A77" s="408"/>
      <c r="B77" s="408"/>
      <c r="C77" s="23">
        <v>2022</v>
      </c>
      <c r="D77" s="225">
        <f aca="true" t="shared" si="3" ref="D77:D82">O77</f>
        <v>0</v>
      </c>
      <c r="E77" s="226"/>
      <c r="F77" s="226"/>
      <c r="G77" s="226"/>
      <c r="H77" s="226"/>
      <c r="I77" s="225"/>
      <c r="J77" s="226"/>
      <c r="K77" s="226"/>
      <c r="L77" s="226"/>
      <c r="M77" s="226"/>
      <c r="N77" s="226"/>
      <c r="O77" s="233">
        <v>0</v>
      </c>
      <c r="P77" s="186"/>
      <c r="Q77" s="186"/>
      <c r="R77" s="186"/>
      <c r="S77" s="186"/>
      <c r="T77" s="186"/>
      <c r="U77" s="428"/>
      <c r="V77" s="349"/>
    </row>
    <row r="78" spans="1:22" s="76" customFormat="1" ht="14.25" customHeight="1">
      <c r="A78" s="409"/>
      <c r="B78" s="409"/>
      <c r="C78" s="23">
        <v>2023</v>
      </c>
      <c r="D78" s="225">
        <f t="shared" si="3"/>
        <v>0</v>
      </c>
      <c r="E78" s="226"/>
      <c r="F78" s="226"/>
      <c r="G78" s="226"/>
      <c r="H78" s="226"/>
      <c r="I78" s="225"/>
      <c r="J78" s="226"/>
      <c r="K78" s="226"/>
      <c r="L78" s="226"/>
      <c r="M78" s="226"/>
      <c r="N78" s="226"/>
      <c r="O78" s="233"/>
      <c r="P78" s="186"/>
      <c r="Q78" s="186"/>
      <c r="R78" s="186"/>
      <c r="S78" s="186"/>
      <c r="T78" s="186"/>
      <c r="U78" s="428"/>
      <c r="V78" s="349"/>
    </row>
    <row r="79" spans="1:22" s="76" customFormat="1" ht="14.25" customHeight="1">
      <c r="A79" s="407" t="s">
        <v>115</v>
      </c>
      <c r="B79" s="407" t="s">
        <v>195</v>
      </c>
      <c r="C79" s="23">
        <v>2017</v>
      </c>
      <c r="D79" s="225">
        <f t="shared" si="3"/>
        <v>0</v>
      </c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5">
        <v>0</v>
      </c>
      <c r="P79" s="186"/>
      <c r="Q79" s="186"/>
      <c r="R79" s="186"/>
      <c r="S79" s="186"/>
      <c r="T79" s="186"/>
      <c r="U79" s="428"/>
      <c r="V79" s="349"/>
    </row>
    <row r="80" spans="1:22" s="76" customFormat="1" ht="14.25" customHeight="1">
      <c r="A80" s="408"/>
      <c r="B80" s="408"/>
      <c r="C80" s="23">
        <v>2018</v>
      </c>
      <c r="D80" s="225">
        <f t="shared" si="3"/>
        <v>70</v>
      </c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5">
        <v>70</v>
      </c>
      <c r="P80" s="186"/>
      <c r="Q80" s="186"/>
      <c r="R80" s="186"/>
      <c r="S80" s="186"/>
      <c r="T80" s="186"/>
      <c r="U80" s="428"/>
      <c r="V80" s="349"/>
    </row>
    <row r="81" spans="1:22" s="76" customFormat="1" ht="14.25" customHeight="1">
      <c r="A81" s="408"/>
      <c r="B81" s="408"/>
      <c r="C81" s="23">
        <v>2019</v>
      </c>
      <c r="D81" s="225">
        <f t="shared" si="3"/>
        <v>0</v>
      </c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5">
        <v>0</v>
      </c>
      <c r="P81" s="186"/>
      <c r="Q81" s="186"/>
      <c r="R81" s="186"/>
      <c r="S81" s="186"/>
      <c r="T81" s="186"/>
      <c r="U81" s="428"/>
      <c r="V81" s="349"/>
    </row>
    <row r="82" spans="1:22" s="76" customFormat="1" ht="21.75" customHeight="1">
      <c r="A82" s="408"/>
      <c r="B82" s="408"/>
      <c r="C82" s="23">
        <v>2020</v>
      </c>
      <c r="D82" s="225">
        <f t="shared" si="3"/>
        <v>0</v>
      </c>
      <c r="E82" s="226"/>
      <c r="F82" s="226"/>
      <c r="G82" s="226"/>
      <c r="H82" s="226"/>
      <c r="I82" s="226">
        <v>0</v>
      </c>
      <c r="J82" s="226"/>
      <c r="K82" s="226"/>
      <c r="L82" s="226"/>
      <c r="M82" s="226"/>
      <c r="N82" s="226"/>
      <c r="O82" s="225">
        <v>0</v>
      </c>
      <c r="P82" s="186"/>
      <c r="Q82" s="186"/>
      <c r="R82" s="186"/>
      <c r="S82" s="186"/>
      <c r="T82" s="186"/>
      <c r="U82" s="428"/>
      <c r="V82" s="349"/>
    </row>
    <row r="83" spans="1:22" s="76" customFormat="1" ht="21.75" customHeight="1">
      <c r="A83" s="408"/>
      <c r="B83" s="408"/>
      <c r="C83" s="23">
        <v>2021</v>
      </c>
      <c r="D83" s="225">
        <f>I83</f>
        <v>0</v>
      </c>
      <c r="E83" s="226"/>
      <c r="F83" s="226"/>
      <c r="G83" s="226"/>
      <c r="H83" s="226"/>
      <c r="I83" s="226">
        <v>0</v>
      </c>
      <c r="J83" s="226"/>
      <c r="K83" s="226"/>
      <c r="L83" s="226"/>
      <c r="M83" s="226"/>
      <c r="N83" s="226"/>
      <c r="O83" s="225">
        <v>0</v>
      </c>
      <c r="P83" s="186"/>
      <c r="Q83" s="186"/>
      <c r="R83" s="186"/>
      <c r="S83" s="186"/>
      <c r="T83" s="186"/>
      <c r="U83" s="428"/>
      <c r="V83" s="349"/>
    </row>
    <row r="84" spans="1:22" s="76" customFormat="1" ht="21.75" customHeight="1">
      <c r="A84" s="408"/>
      <c r="B84" s="408"/>
      <c r="C84" s="23">
        <v>2022</v>
      </c>
      <c r="D84" s="225">
        <f>O84</f>
        <v>0</v>
      </c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5">
        <v>0</v>
      </c>
      <c r="P84" s="186"/>
      <c r="Q84" s="186"/>
      <c r="R84" s="186"/>
      <c r="S84" s="186"/>
      <c r="T84" s="186"/>
      <c r="U84" s="428"/>
      <c r="V84" s="349"/>
    </row>
    <row r="85" spans="1:22" s="76" customFormat="1" ht="21.75" customHeight="1">
      <c r="A85" s="409"/>
      <c r="B85" s="409"/>
      <c r="C85" s="23">
        <v>2023</v>
      </c>
      <c r="D85" s="225">
        <f>O85</f>
        <v>0</v>
      </c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5"/>
      <c r="P85" s="186"/>
      <c r="Q85" s="186"/>
      <c r="R85" s="186"/>
      <c r="S85" s="186"/>
      <c r="T85" s="186"/>
      <c r="U85" s="199"/>
      <c r="V85" s="186"/>
    </row>
    <row r="86" spans="1:22" s="76" customFormat="1" ht="21.75" customHeight="1">
      <c r="A86" s="407" t="s">
        <v>121</v>
      </c>
      <c r="B86" s="407" t="s">
        <v>293</v>
      </c>
      <c r="C86" s="23">
        <v>2017</v>
      </c>
      <c r="D86" s="225">
        <f>O86</f>
        <v>0</v>
      </c>
      <c r="E86" s="226"/>
      <c r="F86" s="226"/>
      <c r="G86" s="226"/>
      <c r="H86" s="226"/>
      <c r="I86" s="226">
        <v>0</v>
      </c>
      <c r="J86" s="226"/>
      <c r="K86" s="226"/>
      <c r="L86" s="226"/>
      <c r="M86" s="226"/>
      <c r="N86" s="226"/>
      <c r="O86" s="225">
        <v>0</v>
      </c>
      <c r="P86" s="186"/>
      <c r="Q86" s="186"/>
      <c r="R86" s="186"/>
      <c r="S86" s="186"/>
      <c r="T86" s="186"/>
      <c r="U86" s="428" t="s">
        <v>50</v>
      </c>
      <c r="V86" s="349" t="s">
        <v>297</v>
      </c>
    </row>
    <row r="87" spans="1:22" s="76" customFormat="1" ht="21.75" customHeight="1">
      <c r="A87" s="408"/>
      <c r="B87" s="408"/>
      <c r="C87" s="23">
        <v>2018</v>
      </c>
      <c r="D87" s="225">
        <f>I87</f>
        <v>0</v>
      </c>
      <c r="E87" s="226"/>
      <c r="F87" s="226"/>
      <c r="G87" s="226"/>
      <c r="H87" s="226"/>
      <c r="I87" s="226">
        <v>0</v>
      </c>
      <c r="J87" s="226"/>
      <c r="K87" s="226"/>
      <c r="L87" s="226"/>
      <c r="M87" s="226"/>
      <c r="N87" s="226"/>
      <c r="O87" s="225">
        <v>0</v>
      </c>
      <c r="P87" s="186"/>
      <c r="Q87" s="186"/>
      <c r="R87" s="186"/>
      <c r="S87" s="186"/>
      <c r="T87" s="186"/>
      <c r="U87" s="428"/>
      <c r="V87" s="349"/>
    </row>
    <row r="88" spans="1:22" s="76" customFormat="1" ht="21.75" customHeight="1">
      <c r="A88" s="408"/>
      <c r="B88" s="408"/>
      <c r="C88" s="23">
        <v>2019</v>
      </c>
      <c r="D88" s="225">
        <f>O88+I88</f>
        <v>347.235</v>
      </c>
      <c r="E88" s="226"/>
      <c r="F88" s="226"/>
      <c r="G88" s="226">
        <f>I88</f>
        <v>330.7</v>
      </c>
      <c r="H88" s="226"/>
      <c r="I88" s="226">
        <v>330.7</v>
      </c>
      <c r="J88" s="226"/>
      <c r="K88" s="226"/>
      <c r="L88" s="226"/>
      <c r="M88" s="226"/>
      <c r="N88" s="226"/>
      <c r="O88" s="225">
        <v>16.535</v>
      </c>
      <c r="P88" s="186"/>
      <c r="Q88" s="186"/>
      <c r="R88" s="186"/>
      <c r="S88" s="186"/>
      <c r="T88" s="186"/>
      <c r="U88" s="428"/>
      <c r="V88" s="349"/>
    </row>
    <row r="89" spans="1:22" s="76" customFormat="1" ht="21.75" customHeight="1">
      <c r="A89" s="408"/>
      <c r="B89" s="408"/>
      <c r="C89" s="23">
        <v>2020</v>
      </c>
      <c r="D89" s="225">
        <f>I89</f>
        <v>0</v>
      </c>
      <c r="E89" s="226"/>
      <c r="F89" s="226"/>
      <c r="G89" s="226"/>
      <c r="H89" s="226"/>
      <c r="I89" s="226">
        <v>0</v>
      </c>
      <c r="J89" s="226"/>
      <c r="K89" s="226"/>
      <c r="L89" s="226"/>
      <c r="M89" s="226"/>
      <c r="N89" s="226"/>
      <c r="O89" s="225">
        <v>0</v>
      </c>
      <c r="P89" s="186"/>
      <c r="Q89" s="186"/>
      <c r="R89" s="186"/>
      <c r="S89" s="186"/>
      <c r="T89" s="186"/>
      <c r="U89" s="428"/>
      <c r="V89" s="349"/>
    </row>
    <row r="90" spans="1:22" s="76" customFormat="1" ht="21.75" customHeight="1">
      <c r="A90" s="408"/>
      <c r="B90" s="408"/>
      <c r="C90" s="23">
        <v>2021</v>
      </c>
      <c r="D90" s="225">
        <f>O90</f>
        <v>0</v>
      </c>
      <c r="E90" s="226"/>
      <c r="F90" s="226"/>
      <c r="G90" s="226"/>
      <c r="H90" s="226"/>
      <c r="I90" s="226">
        <v>0</v>
      </c>
      <c r="J90" s="226"/>
      <c r="K90" s="226"/>
      <c r="L90" s="226"/>
      <c r="M90" s="226"/>
      <c r="N90" s="226"/>
      <c r="O90" s="225">
        <v>0</v>
      </c>
      <c r="P90" s="186"/>
      <c r="Q90" s="186"/>
      <c r="R90" s="186"/>
      <c r="S90" s="186"/>
      <c r="T90" s="186"/>
      <c r="U90" s="428"/>
      <c r="V90" s="349"/>
    </row>
    <row r="91" spans="1:22" s="76" customFormat="1" ht="21.75" customHeight="1">
      <c r="A91" s="408"/>
      <c r="B91" s="408"/>
      <c r="C91" s="23">
        <v>2022</v>
      </c>
      <c r="D91" s="225">
        <f>I91</f>
        <v>0</v>
      </c>
      <c r="E91" s="226"/>
      <c r="F91" s="226"/>
      <c r="G91" s="226"/>
      <c r="H91" s="226"/>
      <c r="I91" s="226">
        <v>0</v>
      </c>
      <c r="J91" s="226"/>
      <c r="K91" s="226"/>
      <c r="L91" s="226"/>
      <c r="M91" s="226"/>
      <c r="N91" s="226"/>
      <c r="O91" s="225">
        <v>0</v>
      </c>
      <c r="P91" s="186"/>
      <c r="Q91" s="186"/>
      <c r="R91" s="186"/>
      <c r="S91" s="186"/>
      <c r="T91" s="186"/>
      <c r="U91" s="428"/>
      <c r="V91" s="349"/>
    </row>
    <row r="92" spans="1:22" s="76" customFormat="1" ht="21.75" customHeight="1">
      <c r="A92" s="409"/>
      <c r="B92" s="409"/>
      <c r="C92" s="23">
        <v>2023</v>
      </c>
      <c r="D92" s="225">
        <f>O92</f>
        <v>0</v>
      </c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5">
        <v>0</v>
      </c>
      <c r="P92" s="186"/>
      <c r="Q92" s="186"/>
      <c r="R92" s="186"/>
      <c r="S92" s="186"/>
      <c r="T92" s="186"/>
      <c r="U92" s="199"/>
      <c r="V92" s="186"/>
    </row>
    <row r="93" spans="1:22" s="76" customFormat="1" ht="21.75" customHeight="1">
      <c r="A93" s="407" t="s">
        <v>46</v>
      </c>
      <c r="B93" s="407" t="s">
        <v>320</v>
      </c>
      <c r="C93" s="23">
        <v>2017</v>
      </c>
      <c r="D93" s="225">
        <f>O93</f>
        <v>0</v>
      </c>
      <c r="E93" s="226"/>
      <c r="F93" s="226"/>
      <c r="G93" s="226"/>
      <c r="H93" s="226"/>
      <c r="I93" s="226">
        <v>0</v>
      </c>
      <c r="J93" s="226"/>
      <c r="K93" s="226"/>
      <c r="L93" s="226"/>
      <c r="M93" s="226"/>
      <c r="N93" s="226"/>
      <c r="O93" s="225">
        <v>0</v>
      </c>
      <c r="P93" s="186"/>
      <c r="Q93" s="186"/>
      <c r="R93" s="186"/>
      <c r="S93" s="186"/>
      <c r="T93" s="186"/>
      <c r="U93" s="199"/>
      <c r="V93" s="186"/>
    </row>
    <row r="94" spans="1:22" s="76" customFormat="1" ht="21.75" customHeight="1">
      <c r="A94" s="408"/>
      <c r="B94" s="408"/>
      <c r="C94" s="23">
        <v>2018</v>
      </c>
      <c r="D94" s="225">
        <f>I94</f>
        <v>0</v>
      </c>
      <c r="E94" s="226"/>
      <c r="F94" s="226"/>
      <c r="G94" s="226"/>
      <c r="H94" s="226"/>
      <c r="I94" s="226">
        <v>0</v>
      </c>
      <c r="J94" s="226"/>
      <c r="K94" s="226"/>
      <c r="L94" s="226"/>
      <c r="M94" s="226"/>
      <c r="N94" s="226"/>
      <c r="O94" s="225">
        <v>0</v>
      </c>
      <c r="P94" s="186"/>
      <c r="Q94" s="186"/>
      <c r="R94" s="186"/>
      <c r="S94" s="186"/>
      <c r="T94" s="186"/>
      <c r="U94" s="199"/>
      <c r="V94" s="186"/>
    </row>
    <row r="95" spans="1:22" s="76" customFormat="1" ht="21.75" customHeight="1">
      <c r="A95" s="408"/>
      <c r="B95" s="408"/>
      <c r="C95" s="23">
        <v>2019</v>
      </c>
      <c r="D95" s="225">
        <f>O95</f>
        <v>0</v>
      </c>
      <c r="E95" s="226"/>
      <c r="F95" s="226"/>
      <c r="G95" s="226"/>
      <c r="H95" s="226"/>
      <c r="I95" s="226">
        <v>0</v>
      </c>
      <c r="J95" s="226"/>
      <c r="K95" s="226"/>
      <c r="L95" s="226"/>
      <c r="M95" s="226"/>
      <c r="N95" s="226"/>
      <c r="O95" s="225">
        <v>0</v>
      </c>
      <c r="P95" s="186"/>
      <c r="Q95" s="186"/>
      <c r="R95" s="186"/>
      <c r="S95" s="186"/>
      <c r="T95" s="186"/>
      <c r="U95" s="199"/>
      <c r="V95" s="186"/>
    </row>
    <row r="96" spans="1:22" s="76" customFormat="1" ht="21.75" customHeight="1">
      <c r="A96" s="408"/>
      <c r="B96" s="408"/>
      <c r="C96" s="23">
        <v>2020</v>
      </c>
      <c r="D96" s="225">
        <f>P96+O96+I96</f>
        <v>334.82800000000003</v>
      </c>
      <c r="E96" s="226"/>
      <c r="F96" s="226"/>
      <c r="G96" s="226"/>
      <c r="H96" s="226"/>
      <c r="I96" s="226">
        <v>291.3</v>
      </c>
      <c r="J96" s="226"/>
      <c r="K96" s="226"/>
      <c r="L96" s="226"/>
      <c r="M96" s="226"/>
      <c r="N96" s="226"/>
      <c r="O96" s="225">
        <v>43.528</v>
      </c>
      <c r="P96" s="186"/>
      <c r="Q96" s="186"/>
      <c r="R96" s="186"/>
      <c r="S96" s="186"/>
      <c r="T96" s="186"/>
      <c r="U96" s="452" t="s">
        <v>50</v>
      </c>
      <c r="V96" s="186"/>
    </row>
    <row r="97" spans="1:22" s="76" customFormat="1" ht="21.75" customHeight="1">
      <c r="A97" s="408"/>
      <c r="B97" s="408"/>
      <c r="C97" s="23">
        <v>2021</v>
      </c>
      <c r="D97" s="225">
        <f>I97+O97</f>
        <v>344.828</v>
      </c>
      <c r="E97" s="226"/>
      <c r="F97" s="226"/>
      <c r="G97" s="226"/>
      <c r="H97" s="226"/>
      <c r="I97" s="226">
        <v>300</v>
      </c>
      <c r="J97" s="226"/>
      <c r="K97" s="226"/>
      <c r="L97" s="226"/>
      <c r="M97" s="226"/>
      <c r="N97" s="226"/>
      <c r="O97" s="225">
        <v>44.828</v>
      </c>
      <c r="P97" s="186"/>
      <c r="Q97" s="186"/>
      <c r="R97" s="186"/>
      <c r="S97" s="186"/>
      <c r="T97" s="186"/>
      <c r="U97" s="453"/>
      <c r="V97" s="186"/>
    </row>
    <row r="98" spans="1:22" s="76" customFormat="1" ht="21.75" customHeight="1">
      <c r="A98" s="408"/>
      <c r="B98" s="408"/>
      <c r="C98" s="23">
        <v>2022</v>
      </c>
      <c r="D98" s="225">
        <v>0</v>
      </c>
      <c r="E98" s="226"/>
      <c r="F98" s="226"/>
      <c r="G98" s="226"/>
      <c r="H98" s="226"/>
      <c r="I98" s="226">
        <v>300</v>
      </c>
      <c r="J98" s="226"/>
      <c r="K98" s="226"/>
      <c r="L98" s="226"/>
      <c r="M98" s="226"/>
      <c r="N98" s="226"/>
      <c r="O98" s="225">
        <v>44.828</v>
      </c>
      <c r="P98" s="186"/>
      <c r="Q98" s="186"/>
      <c r="R98" s="186"/>
      <c r="S98" s="186"/>
      <c r="T98" s="186"/>
      <c r="U98" s="453"/>
      <c r="V98" s="186"/>
    </row>
    <row r="99" spans="1:22" s="76" customFormat="1" ht="21.75" customHeight="1">
      <c r="A99" s="409"/>
      <c r="B99" s="409"/>
      <c r="C99" s="23">
        <v>2023</v>
      </c>
      <c r="D99" s="225">
        <f>O99</f>
        <v>44.828</v>
      </c>
      <c r="E99" s="226"/>
      <c r="F99" s="226"/>
      <c r="G99" s="226"/>
      <c r="H99" s="226"/>
      <c r="I99" s="226">
        <v>300</v>
      </c>
      <c r="J99" s="226"/>
      <c r="K99" s="226"/>
      <c r="L99" s="226"/>
      <c r="M99" s="226"/>
      <c r="N99" s="226"/>
      <c r="O99" s="225">
        <v>44.828</v>
      </c>
      <c r="P99" s="186"/>
      <c r="Q99" s="186"/>
      <c r="R99" s="186"/>
      <c r="S99" s="186"/>
      <c r="T99" s="186"/>
      <c r="U99" s="454"/>
      <c r="V99" s="186"/>
    </row>
    <row r="100" spans="1:22" s="76" customFormat="1" ht="21.75" customHeight="1">
      <c r="A100" s="407" t="s">
        <v>51</v>
      </c>
      <c r="B100" s="407" t="s">
        <v>321</v>
      </c>
      <c r="C100" s="23">
        <v>2017</v>
      </c>
      <c r="D100" s="225">
        <f>I100</f>
        <v>0</v>
      </c>
      <c r="E100" s="226"/>
      <c r="F100" s="226"/>
      <c r="G100" s="226"/>
      <c r="H100" s="226"/>
      <c r="I100" s="226">
        <v>0</v>
      </c>
      <c r="J100" s="226"/>
      <c r="K100" s="226"/>
      <c r="L100" s="226"/>
      <c r="M100" s="226"/>
      <c r="N100" s="226"/>
      <c r="O100" s="225">
        <v>0</v>
      </c>
      <c r="P100" s="186"/>
      <c r="Q100" s="186"/>
      <c r="R100" s="186"/>
      <c r="S100" s="186"/>
      <c r="T100" s="186"/>
      <c r="U100" s="199"/>
      <c r="V100" s="186"/>
    </row>
    <row r="101" spans="1:22" s="76" customFormat="1" ht="21.75" customHeight="1">
      <c r="A101" s="408"/>
      <c r="B101" s="408"/>
      <c r="C101" s="23">
        <v>2018</v>
      </c>
      <c r="D101" s="225">
        <f>O101</f>
        <v>0</v>
      </c>
      <c r="E101" s="226"/>
      <c r="F101" s="226"/>
      <c r="G101" s="226"/>
      <c r="H101" s="226"/>
      <c r="I101" s="226">
        <v>0</v>
      </c>
      <c r="J101" s="226"/>
      <c r="K101" s="226"/>
      <c r="L101" s="226"/>
      <c r="M101" s="226"/>
      <c r="N101" s="226"/>
      <c r="O101" s="225">
        <v>0</v>
      </c>
      <c r="P101" s="186"/>
      <c r="Q101" s="186"/>
      <c r="R101" s="186"/>
      <c r="S101" s="186"/>
      <c r="T101" s="186"/>
      <c r="U101" s="199"/>
      <c r="V101" s="186"/>
    </row>
    <row r="102" spans="1:22" s="76" customFormat="1" ht="21.75" customHeight="1">
      <c r="A102" s="408"/>
      <c r="B102" s="408"/>
      <c r="C102" s="23">
        <v>2019</v>
      </c>
      <c r="D102" s="225">
        <f>O102</f>
        <v>0</v>
      </c>
      <c r="E102" s="226"/>
      <c r="F102" s="226"/>
      <c r="G102" s="226"/>
      <c r="H102" s="226"/>
      <c r="I102" s="226">
        <v>0</v>
      </c>
      <c r="J102" s="226"/>
      <c r="K102" s="226"/>
      <c r="L102" s="226"/>
      <c r="M102" s="226"/>
      <c r="N102" s="226"/>
      <c r="O102" s="225">
        <v>0</v>
      </c>
      <c r="P102" s="186"/>
      <c r="Q102" s="186"/>
      <c r="R102" s="186"/>
      <c r="S102" s="186"/>
      <c r="T102" s="186"/>
      <c r="U102" s="199"/>
      <c r="V102" s="186"/>
    </row>
    <row r="103" spans="1:22" s="76" customFormat="1" ht="21.75" customHeight="1">
      <c r="A103" s="408"/>
      <c r="B103" s="408"/>
      <c r="C103" s="23">
        <v>2020</v>
      </c>
      <c r="D103" s="225">
        <f>P103+I103+O103</f>
        <v>335.97700000000003</v>
      </c>
      <c r="E103" s="226"/>
      <c r="F103" s="226"/>
      <c r="G103" s="226"/>
      <c r="H103" s="226"/>
      <c r="I103" s="226">
        <v>292.3</v>
      </c>
      <c r="J103" s="226"/>
      <c r="K103" s="226"/>
      <c r="L103" s="226"/>
      <c r="M103" s="226"/>
      <c r="N103" s="226"/>
      <c r="O103" s="225">
        <v>43.677</v>
      </c>
      <c r="P103" s="186"/>
      <c r="Q103" s="186"/>
      <c r="R103" s="186"/>
      <c r="S103" s="186"/>
      <c r="T103" s="186"/>
      <c r="U103" s="452" t="s">
        <v>50</v>
      </c>
      <c r="V103" s="186"/>
    </row>
    <row r="104" spans="1:22" s="76" customFormat="1" ht="21.75" customHeight="1">
      <c r="A104" s="408"/>
      <c r="B104" s="408"/>
      <c r="C104" s="23">
        <v>2021</v>
      </c>
      <c r="D104" s="225">
        <f>I104+O104</f>
        <v>258.966</v>
      </c>
      <c r="E104" s="226"/>
      <c r="F104" s="226"/>
      <c r="G104" s="226"/>
      <c r="H104" s="226"/>
      <c r="I104" s="226">
        <v>225.3</v>
      </c>
      <c r="J104" s="226"/>
      <c r="K104" s="226"/>
      <c r="L104" s="226"/>
      <c r="M104" s="226"/>
      <c r="N104" s="226"/>
      <c r="O104" s="225">
        <v>33.666</v>
      </c>
      <c r="P104" s="186"/>
      <c r="Q104" s="186"/>
      <c r="R104" s="186"/>
      <c r="S104" s="186"/>
      <c r="T104" s="186"/>
      <c r="U104" s="453"/>
      <c r="V104" s="186"/>
    </row>
    <row r="105" spans="1:22" s="76" customFormat="1" ht="21.75" customHeight="1">
      <c r="A105" s="408"/>
      <c r="B105" s="408"/>
      <c r="C105" s="23">
        <v>2022</v>
      </c>
      <c r="D105" s="225">
        <f>I105</f>
        <v>0</v>
      </c>
      <c r="E105" s="226"/>
      <c r="F105" s="226"/>
      <c r="G105" s="226"/>
      <c r="H105" s="226"/>
      <c r="I105" s="226">
        <v>0</v>
      </c>
      <c r="J105" s="226"/>
      <c r="K105" s="226"/>
      <c r="L105" s="226"/>
      <c r="M105" s="226"/>
      <c r="N105" s="226"/>
      <c r="O105" s="225">
        <v>0</v>
      </c>
      <c r="P105" s="186"/>
      <c r="Q105" s="186"/>
      <c r="R105" s="186"/>
      <c r="S105" s="186"/>
      <c r="T105" s="186"/>
      <c r="U105" s="453"/>
      <c r="V105" s="186"/>
    </row>
    <row r="106" spans="1:22" s="76" customFormat="1" ht="21.75" customHeight="1">
      <c r="A106" s="409"/>
      <c r="B106" s="409"/>
      <c r="C106" s="23">
        <v>2023</v>
      </c>
      <c r="D106" s="225">
        <f>I106+O106</f>
        <v>0</v>
      </c>
      <c r="E106" s="226"/>
      <c r="F106" s="226"/>
      <c r="G106" s="226"/>
      <c r="H106" s="226"/>
      <c r="I106" s="226">
        <v>0</v>
      </c>
      <c r="J106" s="226"/>
      <c r="K106" s="226"/>
      <c r="L106" s="226"/>
      <c r="M106" s="226"/>
      <c r="N106" s="226"/>
      <c r="O106" s="225">
        <v>0</v>
      </c>
      <c r="P106" s="186"/>
      <c r="Q106" s="186"/>
      <c r="R106" s="186"/>
      <c r="S106" s="186"/>
      <c r="T106" s="186"/>
      <c r="U106" s="454"/>
      <c r="V106" s="186"/>
    </row>
    <row r="107" spans="1:22" s="76" customFormat="1" ht="14.25">
      <c r="A107" s="407"/>
      <c r="B107" s="449" t="s">
        <v>198</v>
      </c>
      <c r="C107" s="192">
        <v>2017</v>
      </c>
      <c r="D107" s="234">
        <f>O107</f>
        <v>0</v>
      </c>
      <c r="E107" s="226"/>
      <c r="F107" s="226"/>
      <c r="G107" s="226"/>
      <c r="H107" s="226"/>
      <c r="I107" s="226">
        <v>0</v>
      </c>
      <c r="J107" s="226"/>
      <c r="K107" s="226"/>
      <c r="L107" s="226"/>
      <c r="M107" s="226"/>
      <c r="N107" s="226"/>
      <c r="O107" s="234">
        <f>O72</f>
        <v>0</v>
      </c>
      <c r="P107" s="186"/>
      <c r="Q107" s="186"/>
      <c r="R107" s="186"/>
      <c r="S107" s="186"/>
      <c r="T107" s="186"/>
      <c r="U107" s="92"/>
      <c r="V107" s="21"/>
    </row>
    <row r="108" spans="1:22" s="76" customFormat="1" ht="14.25">
      <c r="A108" s="408"/>
      <c r="B108" s="450"/>
      <c r="C108" s="192">
        <v>2018</v>
      </c>
      <c r="D108" s="234">
        <f>O108</f>
        <v>70</v>
      </c>
      <c r="E108" s="235"/>
      <c r="F108" s="235"/>
      <c r="G108" s="235"/>
      <c r="H108" s="235"/>
      <c r="I108" s="235">
        <v>0</v>
      </c>
      <c r="J108" s="235"/>
      <c r="K108" s="235"/>
      <c r="L108" s="235"/>
      <c r="M108" s="235"/>
      <c r="N108" s="235"/>
      <c r="O108" s="234">
        <f>O80</f>
        <v>70</v>
      </c>
      <c r="P108" s="186"/>
      <c r="Q108" s="186"/>
      <c r="R108" s="186"/>
      <c r="S108" s="186"/>
      <c r="T108" s="186"/>
      <c r="U108" s="92"/>
      <c r="V108" s="21"/>
    </row>
    <row r="109" spans="1:22" s="76" customFormat="1" ht="14.25">
      <c r="A109" s="408"/>
      <c r="B109" s="450"/>
      <c r="C109" s="192">
        <v>2019</v>
      </c>
      <c r="D109" s="234">
        <f>I109+O109+H109</f>
        <v>4991.084999999999</v>
      </c>
      <c r="E109" s="235"/>
      <c r="F109" s="235"/>
      <c r="G109" s="235">
        <f>G88+G74</f>
        <v>4738.099999999999</v>
      </c>
      <c r="H109" s="235">
        <f>H74</f>
        <v>4407.4</v>
      </c>
      <c r="I109" s="235">
        <f>I74+I88</f>
        <v>330.7</v>
      </c>
      <c r="J109" s="235"/>
      <c r="K109" s="235"/>
      <c r="L109" s="235"/>
      <c r="M109" s="235"/>
      <c r="N109" s="235"/>
      <c r="O109" s="234">
        <f>O74+O88</f>
        <v>252.98499999999999</v>
      </c>
      <c r="P109" s="186"/>
      <c r="Q109" s="186"/>
      <c r="R109" s="186"/>
      <c r="S109" s="186"/>
      <c r="T109" s="186"/>
      <c r="U109" s="92"/>
      <c r="V109" s="21"/>
    </row>
    <row r="110" spans="1:22" s="76" customFormat="1" ht="14.25">
      <c r="A110" s="408"/>
      <c r="B110" s="450"/>
      <c r="C110" s="192">
        <v>2020</v>
      </c>
      <c r="D110" s="234">
        <f>O110+I110</f>
        <v>670.8050000000001</v>
      </c>
      <c r="E110" s="235"/>
      <c r="F110" s="235"/>
      <c r="G110" s="235"/>
      <c r="H110" s="235"/>
      <c r="I110" s="235">
        <f>I103+I96</f>
        <v>583.6</v>
      </c>
      <c r="J110" s="235"/>
      <c r="K110" s="235"/>
      <c r="L110" s="235"/>
      <c r="M110" s="235"/>
      <c r="N110" s="235"/>
      <c r="O110" s="234">
        <f>O103+O96</f>
        <v>87.205</v>
      </c>
      <c r="P110" s="186"/>
      <c r="Q110" s="186"/>
      <c r="R110" s="186"/>
      <c r="S110" s="186"/>
      <c r="T110" s="186"/>
      <c r="U110" s="92"/>
      <c r="V110" s="21"/>
    </row>
    <row r="111" spans="1:22" s="76" customFormat="1" ht="14.25">
      <c r="A111" s="408"/>
      <c r="B111" s="450"/>
      <c r="C111" s="192">
        <v>2021</v>
      </c>
      <c r="D111" s="234">
        <f>I111+O111</f>
        <v>603.794</v>
      </c>
      <c r="E111" s="235"/>
      <c r="F111" s="235"/>
      <c r="G111" s="235"/>
      <c r="H111" s="235"/>
      <c r="I111" s="235">
        <f>I104+I97</f>
        <v>525.3</v>
      </c>
      <c r="J111" s="235"/>
      <c r="K111" s="235"/>
      <c r="L111" s="235"/>
      <c r="M111" s="235"/>
      <c r="N111" s="235"/>
      <c r="O111" s="234">
        <f>0+O97+O104</f>
        <v>78.494</v>
      </c>
      <c r="P111" s="186"/>
      <c r="Q111" s="186"/>
      <c r="R111" s="186"/>
      <c r="S111" s="186"/>
      <c r="T111" s="186"/>
      <c r="U111" s="204"/>
      <c r="V111" s="197"/>
    </row>
    <row r="112" spans="1:22" s="76" customFormat="1" ht="14.25">
      <c r="A112" s="408"/>
      <c r="B112" s="450"/>
      <c r="C112" s="192">
        <v>2022</v>
      </c>
      <c r="D112" s="234">
        <f>O112+I112</f>
        <v>344.828</v>
      </c>
      <c r="E112" s="235"/>
      <c r="F112" s="235"/>
      <c r="G112" s="235"/>
      <c r="H112" s="235"/>
      <c r="I112" s="235">
        <f>I105+I98</f>
        <v>300</v>
      </c>
      <c r="J112" s="235"/>
      <c r="K112" s="235"/>
      <c r="L112" s="235"/>
      <c r="M112" s="235"/>
      <c r="N112" s="235"/>
      <c r="O112" s="234">
        <f>O91+O84+O77+O98</f>
        <v>44.828</v>
      </c>
      <c r="P112" s="186"/>
      <c r="Q112" s="186"/>
      <c r="R112" s="186"/>
      <c r="S112" s="186"/>
      <c r="T112" s="186"/>
      <c r="U112" s="204"/>
      <c r="V112" s="197"/>
    </row>
    <row r="113" spans="1:22" s="76" customFormat="1" ht="14.25">
      <c r="A113" s="409"/>
      <c r="B113" s="450"/>
      <c r="C113" s="192">
        <v>2023</v>
      </c>
      <c r="D113" s="234">
        <f>O113+I113</f>
        <v>344.828</v>
      </c>
      <c r="E113" s="235"/>
      <c r="F113" s="235"/>
      <c r="G113" s="235"/>
      <c r="H113" s="235"/>
      <c r="I113" s="235">
        <f>I99</f>
        <v>300</v>
      </c>
      <c r="J113" s="235"/>
      <c r="K113" s="235"/>
      <c r="L113" s="235"/>
      <c r="M113" s="235"/>
      <c r="N113" s="235"/>
      <c r="O113" s="234">
        <f>O99</f>
        <v>44.828</v>
      </c>
      <c r="P113" s="186"/>
      <c r="Q113" s="186"/>
      <c r="R113" s="186"/>
      <c r="S113" s="186"/>
      <c r="T113" s="186"/>
      <c r="U113" s="204"/>
      <c r="V113" s="197"/>
    </row>
    <row r="114" spans="1:22" s="76" customFormat="1" ht="14.25">
      <c r="A114" s="202"/>
      <c r="B114" s="451"/>
      <c r="C114" s="192" t="s">
        <v>373</v>
      </c>
      <c r="D114" s="234">
        <f>SUM(D107:D113)</f>
        <v>7025.339999999998</v>
      </c>
      <c r="E114" s="235"/>
      <c r="F114" s="235"/>
      <c r="G114" s="235">
        <f>SUM(G107:G113)</f>
        <v>4738.099999999999</v>
      </c>
      <c r="H114" s="235">
        <f>SUM(H107:H113)</f>
        <v>4407.4</v>
      </c>
      <c r="I114" s="235"/>
      <c r="J114" s="236"/>
      <c r="K114" s="236"/>
      <c r="L114" s="236"/>
      <c r="M114" s="236"/>
      <c r="N114" s="236"/>
      <c r="O114" s="237">
        <f>SUM(O107:O113)</f>
        <v>578.3399999999999</v>
      </c>
      <c r="P114" s="201"/>
      <c r="Q114" s="201"/>
      <c r="R114" s="201"/>
      <c r="S114" s="201"/>
      <c r="T114" s="201"/>
      <c r="U114" s="166"/>
      <c r="V114" s="198"/>
    </row>
    <row r="115" spans="1:22" s="76" customFormat="1" ht="14.25">
      <c r="A115" s="422" t="s">
        <v>394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17"/>
    </row>
    <row r="116" spans="1:22" s="76" customFormat="1" ht="30" customHeight="1">
      <c r="A116" s="46" t="s">
        <v>189</v>
      </c>
      <c r="B116" s="446" t="s">
        <v>390</v>
      </c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8"/>
    </row>
    <row r="117" spans="1:22" s="76" customFormat="1" ht="14.25">
      <c r="A117" s="349"/>
      <c r="B117" s="455" t="s">
        <v>273</v>
      </c>
      <c r="C117" s="64">
        <v>2017</v>
      </c>
      <c r="D117" s="221">
        <f>H117+I117+J117</f>
        <v>0</v>
      </c>
      <c r="E117" s="221">
        <v>0</v>
      </c>
      <c r="F117" s="221">
        <f>G117+H117</f>
        <v>0</v>
      </c>
      <c r="G117" s="221"/>
      <c r="H117" s="238">
        <v>0</v>
      </c>
      <c r="I117" s="238">
        <v>0</v>
      </c>
      <c r="J117" s="239">
        <v>0</v>
      </c>
      <c r="K117" s="456" t="s">
        <v>50</v>
      </c>
      <c r="L117" s="235"/>
      <c r="M117" s="235"/>
      <c r="N117" s="235"/>
      <c r="O117" s="234"/>
      <c r="P117" s="186"/>
      <c r="Q117" s="186"/>
      <c r="R117" s="186"/>
      <c r="S117" s="186"/>
      <c r="T117" s="186"/>
      <c r="U117" s="204"/>
      <c r="V117" s="197"/>
    </row>
    <row r="118" spans="1:22" s="76" customFormat="1" ht="14.25">
      <c r="A118" s="349"/>
      <c r="B118" s="455"/>
      <c r="C118" s="64">
        <v>2018</v>
      </c>
      <c r="D118" s="221">
        <f>I118</f>
        <v>0</v>
      </c>
      <c r="E118" s="221">
        <v>0</v>
      </c>
      <c r="F118" s="221">
        <f>G118+H118</f>
        <v>0</v>
      </c>
      <c r="G118" s="221"/>
      <c r="H118" s="238">
        <v>0</v>
      </c>
      <c r="I118" s="238">
        <v>0</v>
      </c>
      <c r="J118" s="240">
        <v>1732.15609</v>
      </c>
      <c r="K118" s="457"/>
      <c r="L118" s="235"/>
      <c r="M118" s="235"/>
      <c r="N118" s="235"/>
      <c r="O118" s="234"/>
      <c r="P118" s="186"/>
      <c r="Q118" s="186"/>
      <c r="R118" s="186"/>
      <c r="S118" s="186"/>
      <c r="T118" s="186"/>
      <c r="U118" s="204"/>
      <c r="V118" s="197"/>
    </row>
    <row r="119" spans="1:22" s="76" customFormat="1" ht="14.25">
      <c r="A119" s="349"/>
      <c r="B119" s="455"/>
      <c r="C119" s="64">
        <v>2019</v>
      </c>
      <c r="D119" s="221">
        <f>I119</f>
        <v>0</v>
      </c>
      <c r="E119" s="221">
        <v>0</v>
      </c>
      <c r="F119" s="221">
        <f>G119+H119</f>
        <v>0</v>
      </c>
      <c r="G119" s="221"/>
      <c r="H119" s="238">
        <v>0</v>
      </c>
      <c r="I119" s="238">
        <v>0</v>
      </c>
      <c r="J119" s="240">
        <f>1926.5597+250</f>
        <v>2176.5597</v>
      </c>
      <c r="K119" s="457"/>
      <c r="L119" s="235"/>
      <c r="M119" s="235"/>
      <c r="N119" s="235"/>
      <c r="O119" s="234"/>
      <c r="P119" s="186"/>
      <c r="Q119" s="186"/>
      <c r="R119" s="186"/>
      <c r="S119" s="186"/>
      <c r="T119" s="186"/>
      <c r="U119" s="204"/>
      <c r="V119" s="197"/>
    </row>
    <row r="120" spans="1:22" s="76" customFormat="1" ht="14.25">
      <c r="A120" s="349"/>
      <c r="B120" s="455"/>
      <c r="C120" s="64">
        <v>2020</v>
      </c>
      <c r="D120" s="221">
        <f>I120</f>
        <v>0</v>
      </c>
      <c r="E120" s="221">
        <v>0</v>
      </c>
      <c r="F120" s="221">
        <f>G120+H120</f>
        <v>0</v>
      </c>
      <c r="G120" s="221"/>
      <c r="H120" s="238">
        <v>0</v>
      </c>
      <c r="I120" s="238">
        <v>0</v>
      </c>
      <c r="J120" s="240">
        <f>2210.8002</f>
        <v>2210.8002</v>
      </c>
      <c r="K120" s="457"/>
      <c r="L120" s="235"/>
      <c r="M120" s="235"/>
      <c r="N120" s="235"/>
      <c r="O120" s="234"/>
      <c r="P120" s="186"/>
      <c r="Q120" s="186"/>
      <c r="R120" s="186"/>
      <c r="S120" s="186"/>
      <c r="T120" s="186"/>
      <c r="U120" s="204"/>
      <c r="V120" s="197"/>
    </row>
    <row r="121" spans="1:22" s="76" customFormat="1" ht="14.25">
      <c r="A121" s="349"/>
      <c r="B121" s="455"/>
      <c r="C121" s="64">
        <v>2021</v>
      </c>
      <c r="D121" s="221">
        <f>F121+I121+J121+O121</f>
        <v>17353.205</v>
      </c>
      <c r="E121" s="221">
        <v>0</v>
      </c>
      <c r="F121" s="221">
        <f aca="true" t="shared" si="4" ref="F121:G123">H121</f>
        <v>0</v>
      </c>
      <c r="G121" s="221">
        <f t="shared" si="4"/>
        <v>524.2</v>
      </c>
      <c r="H121" s="238">
        <v>0</v>
      </c>
      <c r="I121" s="238">
        <v>524.2</v>
      </c>
      <c r="J121" s="240"/>
      <c r="K121" s="457"/>
      <c r="L121" s="235"/>
      <c r="M121" s="235"/>
      <c r="N121" s="235"/>
      <c r="O121" s="225">
        <f>8372.841+2351.983+4342.95+78.33+930.316+752.585</f>
        <v>16829.005</v>
      </c>
      <c r="P121" s="186"/>
      <c r="Q121" s="186"/>
      <c r="R121" s="186"/>
      <c r="S121" s="186"/>
      <c r="T121" s="186"/>
      <c r="U121" s="204"/>
      <c r="V121" s="197"/>
    </row>
    <row r="122" spans="1:22" s="76" customFormat="1" ht="14.25">
      <c r="A122" s="349"/>
      <c r="B122" s="455"/>
      <c r="C122" s="64">
        <v>2022</v>
      </c>
      <c r="D122" s="221">
        <f>F122+I122+J122+O122</f>
        <v>15907.405</v>
      </c>
      <c r="E122" s="221">
        <v>0</v>
      </c>
      <c r="F122" s="221">
        <f t="shared" si="4"/>
        <v>0</v>
      </c>
      <c r="G122" s="221">
        <f t="shared" si="4"/>
        <v>524.2</v>
      </c>
      <c r="H122" s="238">
        <v>0</v>
      </c>
      <c r="I122" s="238">
        <v>524.2</v>
      </c>
      <c r="J122" s="238"/>
      <c r="K122" s="457"/>
      <c r="L122" s="235"/>
      <c r="M122" s="235"/>
      <c r="N122" s="235"/>
      <c r="O122" s="225">
        <f>785.736+752.585+4342.95+2351.983+7071.621+78.33</f>
        <v>15383.205</v>
      </c>
      <c r="P122" s="186"/>
      <c r="Q122" s="186"/>
      <c r="R122" s="186"/>
      <c r="S122" s="186"/>
      <c r="T122" s="186"/>
      <c r="U122" s="452" t="s">
        <v>391</v>
      </c>
      <c r="V122" s="197"/>
    </row>
    <row r="123" spans="1:22" s="76" customFormat="1" ht="14.25">
      <c r="A123" s="349"/>
      <c r="B123" s="455"/>
      <c r="C123" s="64">
        <v>2023</v>
      </c>
      <c r="D123" s="221">
        <f>F123+I123+J123+O123</f>
        <v>15817.305000000002</v>
      </c>
      <c r="E123" s="221">
        <v>0</v>
      </c>
      <c r="F123" s="221">
        <f t="shared" si="4"/>
        <v>0</v>
      </c>
      <c r="G123" s="221">
        <f t="shared" si="4"/>
        <v>524.2</v>
      </c>
      <c r="H123" s="238">
        <v>0</v>
      </c>
      <c r="I123" s="238">
        <v>524.2</v>
      </c>
      <c r="J123" s="240"/>
      <c r="K123" s="458"/>
      <c r="L123" s="235"/>
      <c r="M123" s="235"/>
      <c r="N123" s="235"/>
      <c r="O123" s="225">
        <f>776.726+752.585+6990.531+2351.983+4342.95+78.33</f>
        <v>15293.105000000001</v>
      </c>
      <c r="P123" s="186"/>
      <c r="Q123" s="186"/>
      <c r="R123" s="186"/>
      <c r="S123" s="186"/>
      <c r="T123" s="186"/>
      <c r="U123" s="453"/>
      <c r="V123" s="197"/>
    </row>
    <row r="124" spans="1:22" s="76" customFormat="1" ht="14.25">
      <c r="A124" s="349">
        <v>1</v>
      </c>
      <c r="B124" s="455" t="s">
        <v>392</v>
      </c>
      <c r="C124" s="64">
        <v>2017</v>
      </c>
      <c r="D124" s="221">
        <f>H124+I124+J124</f>
        <v>0</v>
      </c>
      <c r="E124" s="221">
        <v>0</v>
      </c>
      <c r="F124" s="221">
        <f>G124+H124</f>
        <v>0</v>
      </c>
      <c r="G124" s="221"/>
      <c r="H124" s="238">
        <v>0</v>
      </c>
      <c r="I124" s="238">
        <v>0</v>
      </c>
      <c r="J124" s="239">
        <v>0</v>
      </c>
      <c r="K124" s="456" t="s">
        <v>50</v>
      </c>
      <c r="L124" s="235"/>
      <c r="M124" s="235"/>
      <c r="N124" s="235"/>
      <c r="O124" s="234"/>
      <c r="P124" s="186"/>
      <c r="Q124" s="186"/>
      <c r="R124" s="186"/>
      <c r="S124" s="186"/>
      <c r="T124" s="186"/>
      <c r="U124" s="454"/>
      <c r="V124" s="197"/>
    </row>
    <row r="125" spans="1:22" s="76" customFormat="1" ht="14.25">
      <c r="A125" s="349"/>
      <c r="B125" s="455"/>
      <c r="C125" s="64">
        <v>2018</v>
      </c>
      <c r="D125" s="221">
        <f>I125</f>
        <v>0</v>
      </c>
      <c r="E125" s="221">
        <v>0</v>
      </c>
      <c r="F125" s="221">
        <f>G125+H125</f>
        <v>0</v>
      </c>
      <c r="G125" s="221"/>
      <c r="H125" s="238">
        <v>0</v>
      </c>
      <c r="I125" s="238">
        <v>0</v>
      </c>
      <c r="J125" s="240">
        <v>1732.15609</v>
      </c>
      <c r="K125" s="457"/>
      <c r="L125" s="235"/>
      <c r="M125" s="235"/>
      <c r="N125" s="235"/>
      <c r="O125" s="234"/>
      <c r="P125" s="186"/>
      <c r="Q125" s="186"/>
      <c r="R125" s="186"/>
      <c r="S125" s="186"/>
      <c r="T125" s="186"/>
      <c r="U125" s="204"/>
      <c r="V125" s="197"/>
    </row>
    <row r="126" spans="1:22" s="76" customFormat="1" ht="14.25">
      <c r="A126" s="349"/>
      <c r="B126" s="455"/>
      <c r="C126" s="64">
        <v>2019</v>
      </c>
      <c r="D126" s="221">
        <f>I126</f>
        <v>0</v>
      </c>
      <c r="E126" s="221">
        <v>0</v>
      </c>
      <c r="F126" s="221">
        <f>G126+H126</f>
        <v>0</v>
      </c>
      <c r="G126" s="221"/>
      <c r="H126" s="238">
        <v>0</v>
      </c>
      <c r="I126" s="238">
        <v>0</v>
      </c>
      <c r="J126" s="240">
        <f>1926.5597+250</f>
        <v>2176.5597</v>
      </c>
      <c r="K126" s="457"/>
      <c r="L126" s="235"/>
      <c r="M126" s="235"/>
      <c r="N126" s="235"/>
      <c r="O126" s="234"/>
      <c r="P126" s="186"/>
      <c r="Q126" s="186"/>
      <c r="R126" s="186"/>
      <c r="S126" s="186"/>
      <c r="T126" s="186"/>
      <c r="U126" s="204"/>
      <c r="V126" s="197"/>
    </row>
    <row r="127" spans="1:22" s="76" customFormat="1" ht="14.25">
      <c r="A127" s="349"/>
      <c r="B127" s="455"/>
      <c r="C127" s="64">
        <v>2020</v>
      </c>
      <c r="D127" s="221">
        <f>I127</f>
        <v>0</v>
      </c>
      <c r="E127" s="221">
        <v>0</v>
      </c>
      <c r="F127" s="221">
        <f>G127+H127</f>
        <v>0</v>
      </c>
      <c r="G127" s="221"/>
      <c r="H127" s="238">
        <v>0</v>
      </c>
      <c r="I127" s="238">
        <v>0</v>
      </c>
      <c r="J127" s="240">
        <f>2210.8002</f>
        <v>2210.8002</v>
      </c>
      <c r="K127" s="457"/>
      <c r="L127" s="235"/>
      <c r="M127" s="235"/>
      <c r="N127" s="235"/>
      <c r="O127" s="234"/>
      <c r="P127" s="186"/>
      <c r="Q127" s="186"/>
      <c r="R127" s="186"/>
      <c r="S127" s="186"/>
      <c r="T127" s="186"/>
      <c r="U127" s="204"/>
      <c r="V127" s="197"/>
    </row>
    <row r="128" spans="1:22" s="76" customFormat="1" ht="14.25">
      <c r="A128" s="349"/>
      <c r="B128" s="455"/>
      <c r="C128" s="64">
        <v>2021</v>
      </c>
      <c r="D128" s="221">
        <f>G128+O128</f>
        <v>3348.5</v>
      </c>
      <c r="E128" s="221">
        <v>0</v>
      </c>
      <c r="F128" s="221">
        <f>H128</f>
        <v>3348.5</v>
      </c>
      <c r="G128" s="221">
        <v>3348.5</v>
      </c>
      <c r="H128" s="238">
        <f>G128</f>
        <v>3348.5</v>
      </c>
      <c r="I128" s="238">
        <v>0</v>
      </c>
      <c r="J128" s="240"/>
      <c r="K128" s="457"/>
      <c r="L128" s="235"/>
      <c r="M128" s="235"/>
      <c r="N128" s="235"/>
      <c r="O128" s="225">
        <v>0</v>
      </c>
      <c r="P128" s="186"/>
      <c r="Q128" s="186"/>
      <c r="R128" s="186"/>
      <c r="S128" s="186"/>
      <c r="T128" s="186"/>
      <c r="U128" s="452" t="s">
        <v>391</v>
      </c>
      <c r="V128" s="197"/>
    </row>
    <row r="129" spans="1:22" s="76" customFormat="1" ht="14.25">
      <c r="A129" s="349"/>
      <c r="B129" s="455"/>
      <c r="C129" s="64">
        <v>2022</v>
      </c>
      <c r="D129" s="221">
        <f>G129+O129</f>
        <v>0</v>
      </c>
      <c r="E129" s="221">
        <v>0</v>
      </c>
      <c r="F129" s="221">
        <f>H129</f>
        <v>0</v>
      </c>
      <c r="G129" s="221"/>
      <c r="H129" s="238">
        <v>0</v>
      </c>
      <c r="I129" s="238">
        <v>0</v>
      </c>
      <c r="J129" s="238"/>
      <c r="K129" s="457"/>
      <c r="L129" s="235"/>
      <c r="M129" s="235"/>
      <c r="N129" s="235"/>
      <c r="O129" s="225">
        <v>0</v>
      </c>
      <c r="P129" s="186"/>
      <c r="Q129" s="186"/>
      <c r="R129" s="186"/>
      <c r="S129" s="186"/>
      <c r="T129" s="186"/>
      <c r="U129" s="453"/>
      <c r="V129" s="197"/>
    </row>
    <row r="130" spans="1:22" s="76" customFormat="1" ht="14.25">
      <c r="A130" s="349"/>
      <c r="B130" s="455"/>
      <c r="C130" s="64">
        <v>2023</v>
      </c>
      <c r="D130" s="221">
        <f>G130+O130</f>
        <v>0</v>
      </c>
      <c r="E130" s="221">
        <v>0</v>
      </c>
      <c r="F130" s="221">
        <f>H130</f>
        <v>0</v>
      </c>
      <c r="G130" s="221"/>
      <c r="H130" s="238">
        <v>0</v>
      </c>
      <c r="I130" s="238">
        <v>0</v>
      </c>
      <c r="J130" s="240"/>
      <c r="K130" s="458"/>
      <c r="L130" s="235"/>
      <c r="M130" s="235"/>
      <c r="N130" s="235"/>
      <c r="O130" s="225">
        <v>0</v>
      </c>
      <c r="P130" s="186"/>
      <c r="Q130" s="186"/>
      <c r="R130" s="186"/>
      <c r="S130" s="186"/>
      <c r="T130" s="186"/>
      <c r="U130" s="454"/>
      <c r="V130" s="197"/>
    </row>
    <row r="131" spans="1:22" s="76" customFormat="1" ht="14.25" hidden="1">
      <c r="A131" s="186"/>
      <c r="B131" s="22"/>
      <c r="C131" s="192"/>
      <c r="D131" s="234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4"/>
      <c r="P131" s="186"/>
      <c r="Q131" s="186"/>
      <c r="R131" s="186"/>
      <c r="S131" s="186"/>
      <c r="T131" s="186"/>
      <c r="U131" s="204"/>
      <c r="V131" s="197"/>
    </row>
    <row r="132" spans="1:22" s="76" customFormat="1" ht="14.25">
      <c r="A132" s="186"/>
      <c r="B132" s="22"/>
      <c r="C132" s="192"/>
      <c r="D132" s="234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4"/>
      <c r="P132" s="186"/>
      <c r="Q132" s="186"/>
      <c r="R132" s="186"/>
      <c r="S132" s="186"/>
      <c r="T132" s="186"/>
      <c r="U132" s="204"/>
      <c r="V132" s="197"/>
    </row>
    <row r="133" spans="1:22" s="76" customFormat="1" ht="14.25">
      <c r="A133" s="349">
        <v>2</v>
      </c>
      <c r="B133" s="440" t="s">
        <v>393</v>
      </c>
      <c r="C133" s="63">
        <v>2017</v>
      </c>
      <c r="D133" s="234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4"/>
      <c r="P133" s="186"/>
      <c r="Q133" s="186"/>
      <c r="R133" s="186"/>
      <c r="S133" s="186"/>
      <c r="T133" s="186"/>
      <c r="U133" s="204"/>
      <c r="V133" s="197"/>
    </row>
    <row r="134" spans="1:22" s="76" customFormat="1" ht="14.25">
      <c r="A134" s="349"/>
      <c r="B134" s="441"/>
      <c r="C134" s="63">
        <v>2018</v>
      </c>
      <c r="D134" s="234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4"/>
      <c r="P134" s="186"/>
      <c r="Q134" s="186"/>
      <c r="R134" s="186"/>
      <c r="S134" s="186"/>
      <c r="T134" s="186"/>
      <c r="U134" s="204"/>
      <c r="V134" s="197"/>
    </row>
    <row r="135" spans="1:22" s="76" customFormat="1" ht="14.25">
      <c r="A135" s="349"/>
      <c r="B135" s="441"/>
      <c r="C135" s="63">
        <v>2019</v>
      </c>
      <c r="D135" s="234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4"/>
      <c r="P135" s="186"/>
      <c r="Q135" s="186"/>
      <c r="R135" s="186"/>
      <c r="S135" s="186"/>
      <c r="T135" s="186"/>
      <c r="U135" s="204"/>
      <c r="V135" s="197"/>
    </row>
    <row r="136" spans="1:22" s="76" customFormat="1" ht="14.25">
      <c r="A136" s="349"/>
      <c r="B136" s="441"/>
      <c r="C136" s="63">
        <v>2020</v>
      </c>
      <c r="D136" s="234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4"/>
      <c r="P136" s="186"/>
      <c r="Q136" s="186"/>
      <c r="R136" s="186"/>
      <c r="S136" s="186"/>
      <c r="T136" s="186"/>
      <c r="U136" s="204"/>
      <c r="V136" s="197"/>
    </row>
    <row r="137" spans="1:22" s="76" customFormat="1" ht="14.25">
      <c r="A137" s="349"/>
      <c r="B137" s="441"/>
      <c r="C137" s="63">
        <v>2021</v>
      </c>
      <c r="D137" s="234">
        <f>G137+O137</f>
        <v>20701.705</v>
      </c>
      <c r="E137" s="235"/>
      <c r="F137" s="235"/>
      <c r="G137" s="235">
        <f>G128+I137</f>
        <v>3872.7</v>
      </c>
      <c r="H137" s="235">
        <f>H128</f>
        <v>3348.5</v>
      </c>
      <c r="I137" s="235">
        <f>I121</f>
        <v>524.2</v>
      </c>
      <c r="J137" s="235"/>
      <c r="K137" s="235"/>
      <c r="L137" s="235"/>
      <c r="M137" s="235"/>
      <c r="N137" s="235"/>
      <c r="O137" s="234">
        <f>O121</f>
        <v>16829.005</v>
      </c>
      <c r="P137" s="186"/>
      <c r="Q137" s="186"/>
      <c r="R137" s="186"/>
      <c r="S137" s="186"/>
      <c r="T137" s="186"/>
      <c r="U137" s="204"/>
      <c r="V137" s="197"/>
    </row>
    <row r="138" spans="1:22" s="76" customFormat="1" ht="14.25">
      <c r="A138" s="349"/>
      <c r="B138" s="441"/>
      <c r="C138" s="63">
        <v>2022</v>
      </c>
      <c r="D138" s="234">
        <f>G138+O138</f>
        <v>15907.405</v>
      </c>
      <c r="E138" s="235"/>
      <c r="F138" s="235"/>
      <c r="G138" s="235">
        <f>I138</f>
        <v>524.2</v>
      </c>
      <c r="H138" s="235"/>
      <c r="I138" s="235">
        <f>I122</f>
        <v>524.2</v>
      </c>
      <c r="J138" s="235"/>
      <c r="K138" s="235"/>
      <c r="L138" s="235"/>
      <c r="M138" s="235"/>
      <c r="N138" s="235"/>
      <c r="O138" s="234">
        <f>O122</f>
        <v>15383.205</v>
      </c>
      <c r="P138" s="186"/>
      <c r="Q138" s="186"/>
      <c r="R138" s="186"/>
      <c r="S138" s="186"/>
      <c r="T138" s="186"/>
      <c r="U138" s="204"/>
      <c r="V138" s="197"/>
    </row>
    <row r="139" spans="1:22" s="76" customFormat="1" ht="14.25">
      <c r="A139" s="349"/>
      <c r="B139" s="441"/>
      <c r="C139" s="63">
        <v>2023</v>
      </c>
      <c r="D139" s="234">
        <f>G139+O139</f>
        <v>15817.305000000002</v>
      </c>
      <c r="E139" s="235"/>
      <c r="F139" s="235"/>
      <c r="G139" s="235">
        <f>I139</f>
        <v>524.2</v>
      </c>
      <c r="H139" s="235"/>
      <c r="I139" s="235">
        <f>I123</f>
        <v>524.2</v>
      </c>
      <c r="J139" s="235"/>
      <c r="K139" s="235"/>
      <c r="L139" s="235"/>
      <c r="M139" s="235"/>
      <c r="N139" s="235"/>
      <c r="O139" s="234">
        <f>O123</f>
        <v>15293.105000000001</v>
      </c>
      <c r="P139" s="186"/>
      <c r="Q139" s="186"/>
      <c r="R139" s="186"/>
      <c r="S139" s="186"/>
      <c r="T139" s="186"/>
      <c r="U139" s="204"/>
      <c r="V139" s="197"/>
    </row>
    <row r="140" spans="1:22" s="76" customFormat="1" ht="14.25">
      <c r="A140" s="196"/>
      <c r="B140" s="442"/>
      <c r="C140" s="63" t="s">
        <v>373</v>
      </c>
      <c r="D140" s="234">
        <f>SUM(D137:D139)</f>
        <v>52426.415</v>
      </c>
      <c r="E140" s="235"/>
      <c r="F140" s="235"/>
      <c r="G140" s="235">
        <f>SUM(G137:G139)</f>
        <v>4921.099999999999</v>
      </c>
      <c r="H140" s="235">
        <f>SUM(H137:H139)</f>
        <v>3348.5</v>
      </c>
      <c r="I140" s="235">
        <f>SUM(I137:I139)</f>
        <v>1572.6000000000001</v>
      </c>
      <c r="J140" s="235"/>
      <c r="K140" s="235"/>
      <c r="L140" s="235"/>
      <c r="M140" s="235"/>
      <c r="N140" s="235"/>
      <c r="O140" s="234">
        <f>SUM(O137:O139)</f>
        <v>47505.315</v>
      </c>
      <c r="P140" s="186"/>
      <c r="Q140" s="186"/>
      <c r="R140" s="186"/>
      <c r="S140" s="186"/>
      <c r="T140" s="186"/>
      <c r="U140" s="204"/>
      <c r="V140" s="197"/>
    </row>
    <row r="141" spans="1:22" s="76" customFormat="1" ht="14.25">
      <c r="A141" s="407"/>
      <c r="B141" s="440" t="s">
        <v>92</v>
      </c>
      <c r="C141" s="192">
        <v>2017</v>
      </c>
      <c r="D141" s="234">
        <f>O141</f>
        <v>358.5</v>
      </c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34">
        <f>O107+O61</f>
        <v>358.5</v>
      </c>
      <c r="P141" s="186"/>
      <c r="Q141" s="186"/>
      <c r="R141" s="186"/>
      <c r="S141" s="186"/>
      <c r="T141" s="186"/>
      <c r="U141" s="21"/>
      <c r="V141" s="186"/>
    </row>
    <row r="142" spans="1:22" s="76" customFormat="1" ht="14.25">
      <c r="A142" s="408"/>
      <c r="B142" s="441"/>
      <c r="C142" s="192">
        <v>2018</v>
      </c>
      <c r="D142" s="234">
        <f>O142</f>
        <v>428.5</v>
      </c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4">
        <f>O108+O62</f>
        <v>428.5</v>
      </c>
      <c r="P142" s="186"/>
      <c r="Q142" s="186"/>
      <c r="R142" s="186"/>
      <c r="S142" s="186"/>
      <c r="T142" s="186"/>
      <c r="U142" s="21"/>
      <c r="V142" s="186"/>
    </row>
    <row r="143" spans="1:22" s="76" customFormat="1" ht="14.25">
      <c r="A143" s="408"/>
      <c r="B143" s="441"/>
      <c r="C143" s="192">
        <v>2019</v>
      </c>
      <c r="D143" s="234">
        <f>O143+I143+H143</f>
        <v>5391.084999999999</v>
      </c>
      <c r="E143" s="235"/>
      <c r="F143" s="235"/>
      <c r="G143" s="235">
        <f>H143+I143</f>
        <v>4738.099999999999</v>
      </c>
      <c r="H143" s="235">
        <f>H74</f>
        <v>4407.4</v>
      </c>
      <c r="I143" s="235">
        <f>I109</f>
        <v>330.7</v>
      </c>
      <c r="J143" s="235"/>
      <c r="K143" s="235"/>
      <c r="L143" s="235"/>
      <c r="M143" s="235"/>
      <c r="N143" s="235"/>
      <c r="O143" s="234">
        <f>O109+O63</f>
        <v>652.985</v>
      </c>
      <c r="P143" s="186"/>
      <c r="Q143" s="186"/>
      <c r="R143" s="186"/>
      <c r="S143" s="186"/>
      <c r="T143" s="186"/>
      <c r="U143" s="21"/>
      <c r="V143" s="186"/>
    </row>
    <row r="144" spans="1:22" s="76" customFormat="1" ht="14.25">
      <c r="A144" s="408"/>
      <c r="B144" s="441"/>
      <c r="C144" s="192">
        <v>2020</v>
      </c>
      <c r="D144" s="234">
        <f>O144+I144</f>
        <v>1069.9875</v>
      </c>
      <c r="E144" s="235"/>
      <c r="F144" s="235"/>
      <c r="G144" s="235">
        <f>I144</f>
        <v>583.6</v>
      </c>
      <c r="H144" s="235"/>
      <c r="I144" s="235">
        <f>I110</f>
        <v>583.6</v>
      </c>
      <c r="J144" s="235"/>
      <c r="K144" s="235"/>
      <c r="L144" s="235"/>
      <c r="M144" s="235"/>
      <c r="N144" s="235"/>
      <c r="O144" s="234">
        <f>O110+O64</f>
        <v>486.3875</v>
      </c>
      <c r="P144" s="186"/>
      <c r="Q144" s="186"/>
      <c r="R144" s="186"/>
      <c r="S144" s="186"/>
      <c r="T144" s="186"/>
      <c r="U144" s="116"/>
      <c r="V144" s="186"/>
    </row>
    <row r="145" spans="1:22" s="76" customFormat="1" ht="14.25">
      <c r="A145" s="408"/>
      <c r="B145" s="441"/>
      <c r="C145" s="192">
        <v>2021</v>
      </c>
      <c r="D145" s="234">
        <f>G145+O145</f>
        <v>21605.499</v>
      </c>
      <c r="E145" s="235"/>
      <c r="F145" s="235"/>
      <c r="G145" s="235">
        <f>H145+I145</f>
        <v>4398</v>
      </c>
      <c r="H145" s="235">
        <f>H137</f>
        <v>3348.5</v>
      </c>
      <c r="I145" s="235">
        <f>I111+I137</f>
        <v>1049.5</v>
      </c>
      <c r="J145" s="235"/>
      <c r="K145" s="235"/>
      <c r="L145" s="235"/>
      <c r="M145" s="235"/>
      <c r="N145" s="235"/>
      <c r="O145" s="234">
        <f>O65+O111+O137</f>
        <v>17207.499</v>
      </c>
      <c r="P145" s="186"/>
      <c r="Q145" s="186"/>
      <c r="R145" s="186"/>
      <c r="S145" s="186"/>
      <c r="T145" s="186"/>
      <c r="U145" s="116"/>
      <c r="V145" s="186"/>
    </row>
    <row r="146" spans="1:22" s="76" customFormat="1" ht="14.25">
      <c r="A146" s="408"/>
      <c r="B146" s="441"/>
      <c r="C146" s="192">
        <v>2022</v>
      </c>
      <c r="D146" s="234">
        <f>O146+I146</f>
        <v>16252.233</v>
      </c>
      <c r="E146" s="235"/>
      <c r="F146" s="235"/>
      <c r="G146" s="241">
        <f>I146</f>
        <v>824.2</v>
      </c>
      <c r="H146" s="235"/>
      <c r="I146" s="235">
        <f>I112+I138</f>
        <v>824.2</v>
      </c>
      <c r="J146" s="235"/>
      <c r="K146" s="235"/>
      <c r="L146" s="235"/>
      <c r="M146" s="235"/>
      <c r="N146" s="235"/>
      <c r="O146" s="234">
        <f>O879+O66+O112+O138</f>
        <v>15428.033</v>
      </c>
      <c r="P146" s="186"/>
      <c r="Q146" s="186"/>
      <c r="R146" s="186"/>
      <c r="S146" s="186"/>
      <c r="T146" s="186"/>
      <c r="U146" s="116"/>
      <c r="V146" s="186"/>
    </row>
    <row r="147" spans="1:22" s="76" customFormat="1" ht="14.25">
      <c r="A147" s="409"/>
      <c r="B147" s="442"/>
      <c r="C147" s="192">
        <v>2023</v>
      </c>
      <c r="D147" s="234">
        <f>I147+O147</f>
        <v>16162.133000000002</v>
      </c>
      <c r="E147" s="235"/>
      <c r="F147" s="235"/>
      <c r="G147" s="235">
        <f>I147</f>
        <v>824.2</v>
      </c>
      <c r="H147" s="235"/>
      <c r="I147" s="235">
        <f>I113+I139</f>
        <v>824.2</v>
      </c>
      <c r="J147" s="235"/>
      <c r="K147" s="235"/>
      <c r="L147" s="235"/>
      <c r="M147" s="235"/>
      <c r="N147" s="235"/>
      <c r="O147" s="234">
        <f>O139+O113</f>
        <v>15337.933</v>
      </c>
      <c r="P147" s="186"/>
      <c r="Q147" s="186"/>
      <c r="R147" s="186"/>
      <c r="S147" s="186"/>
      <c r="T147" s="186"/>
      <c r="U147" s="116"/>
      <c r="V147" s="186"/>
    </row>
    <row r="148" spans="1:22" s="76" customFormat="1" ht="14.25">
      <c r="A148" s="210"/>
      <c r="B148" s="210"/>
      <c r="C148" s="26" t="s">
        <v>373</v>
      </c>
      <c r="D148" s="242">
        <f>G148+O148</f>
        <v>61267.937500000015</v>
      </c>
      <c r="E148" s="233"/>
      <c r="F148" s="233"/>
      <c r="G148" s="242">
        <f>SUM(G143:G147)</f>
        <v>11368.100000000002</v>
      </c>
      <c r="H148" s="242">
        <f>H143+H145</f>
        <v>7755.9</v>
      </c>
      <c r="I148" s="242">
        <f>SUM(I143:I146)</f>
        <v>2788</v>
      </c>
      <c r="J148" s="233"/>
      <c r="K148" s="233"/>
      <c r="L148" s="233"/>
      <c r="M148" s="233"/>
      <c r="N148" s="233"/>
      <c r="O148" s="242">
        <f>SUM(O141:O146)+O147</f>
        <v>49899.83750000001</v>
      </c>
      <c r="P148" s="210"/>
      <c r="Q148" s="210"/>
      <c r="R148" s="210"/>
      <c r="S148" s="210"/>
      <c r="T148" s="210"/>
      <c r="U148" s="210"/>
      <c r="V148" s="210"/>
    </row>
    <row r="149" spans="3:15" s="76" customFormat="1" ht="14.25">
      <c r="C149" s="167"/>
      <c r="O149" s="87"/>
    </row>
  </sheetData>
  <sheetProtection/>
  <mergeCells count="95">
    <mergeCell ref="U96:U99"/>
    <mergeCell ref="U103:U106"/>
    <mergeCell ref="A115:V115"/>
    <mergeCell ref="B133:B140"/>
    <mergeCell ref="B117:B123"/>
    <mergeCell ref="K117:K123"/>
    <mergeCell ref="B124:B130"/>
    <mergeCell ref="K124:K130"/>
    <mergeCell ref="U128:U130"/>
    <mergeCell ref="U122:U124"/>
    <mergeCell ref="B116:V116"/>
    <mergeCell ref="A72:A78"/>
    <mergeCell ref="B72:B78"/>
    <mergeCell ref="A79:A85"/>
    <mergeCell ref="B79:B85"/>
    <mergeCell ref="A86:A92"/>
    <mergeCell ref="V86:V91"/>
    <mergeCell ref="U86:U91"/>
    <mergeCell ref="B86:B92"/>
    <mergeCell ref="B107:B114"/>
    <mergeCell ref="A141:A147"/>
    <mergeCell ref="B141:B147"/>
    <mergeCell ref="A93:A99"/>
    <mergeCell ref="B93:B99"/>
    <mergeCell ref="A100:A106"/>
    <mergeCell ref="B100:B106"/>
    <mergeCell ref="A107:A113"/>
    <mergeCell ref="A117:A123"/>
    <mergeCell ref="A124:A130"/>
    <mergeCell ref="A133:A139"/>
    <mergeCell ref="V25:V32"/>
    <mergeCell ref="A40:A46"/>
    <mergeCell ref="B40:B46"/>
    <mergeCell ref="U40:U46"/>
    <mergeCell ref="V40:V46"/>
    <mergeCell ref="D26:D27"/>
    <mergeCell ref="T33:U39"/>
    <mergeCell ref="O26:O27"/>
    <mergeCell ref="P26:P27"/>
    <mergeCell ref="P3:V3"/>
    <mergeCell ref="A33:A39"/>
    <mergeCell ref="B33:B39"/>
    <mergeCell ref="A61:A67"/>
    <mergeCell ref="B61:B67"/>
    <mergeCell ref="K42:N42"/>
    <mergeCell ref="P48:T50"/>
    <mergeCell ref="E10:E13"/>
    <mergeCell ref="A18:A24"/>
    <mergeCell ref="B18:B24"/>
    <mergeCell ref="A69:V69"/>
    <mergeCell ref="A47:A53"/>
    <mergeCell ref="B47:B53"/>
    <mergeCell ref="U47:U53"/>
    <mergeCell ref="V47:V53"/>
    <mergeCell ref="L48:N48"/>
    <mergeCell ref="A54:A60"/>
    <mergeCell ref="B54:B60"/>
    <mergeCell ref="V72:V84"/>
    <mergeCell ref="U72:U84"/>
    <mergeCell ref="K41:N41"/>
    <mergeCell ref="K43:N43"/>
    <mergeCell ref="V33:V39"/>
    <mergeCell ref="A16:V16"/>
    <mergeCell ref="C26:C27"/>
    <mergeCell ref="A70:A71"/>
    <mergeCell ref="B70:V71"/>
    <mergeCell ref="L49:N49"/>
    <mergeCell ref="A17:V17"/>
    <mergeCell ref="U18:U24"/>
    <mergeCell ref="V18:V24"/>
    <mergeCell ref="A25:A32"/>
    <mergeCell ref="B25:B32"/>
    <mergeCell ref="O11:O13"/>
    <mergeCell ref="G12:G13"/>
    <mergeCell ref="J21:N21"/>
    <mergeCell ref="A15:V15"/>
    <mergeCell ref="S25:U32"/>
    <mergeCell ref="B2:L2"/>
    <mergeCell ref="B3:L3"/>
    <mergeCell ref="K4:L4"/>
    <mergeCell ref="K5:L5"/>
    <mergeCell ref="G10:O10"/>
    <mergeCell ref="P9:P13"/>
    <mergeCell ref="G11:J11"/>
    <mergeCell ref="H12:I12"/>
    <mergeCell ref="P4:V4"/>
    <mergeCell ref="P2:V2"/>
    <mergeCell ref="V9:V13"/>
    <mergeCell ref="A9:A13"/>
    <mergeCell ref="B9:B13"/>
    <mergeCell ref="C9:C13"/>
    <mergeCell ref="Q14:U14"/>
    <mergeCell ref="U9:U13"/>
    <mergeCell ref="D9:D13"/>
    <mergeCell ref="E9:O9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3"/>
  <sheetViews>
    <sheetView zoomScalePageLayoutView="0" workbookViewId="0" topLeftCell="A90">
      <selection activeCell="I50" sqref="I50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pans="1:13" ht="14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58"/>
    </row>
    <row r="2" spans="1:13" ht="15">
      <c r="A2" s="159"/>
      <c r="B2" s="459" t="s">
        <v>300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459" t="s">
        <v>307</v>
      </c>
      <c r="L3" s="459"/>
      <c r="M3" s="459"/>
    </row>
    <row r="4" spans="1:13" ht="19.5" customHeight="1">
      <c r="A4" s="160"/>
      <c r="B4" s="205"/>
      <c r="C4" s="205"/>
      <c r="D4" s="205"/>
      <c r="E4" s="205"/>
      <c r="F4" s="205"/>
      <c r="G4" s="205"/>
      <c r="H4" s="205"/>
      <c r="I4" s="205"/>
      <c r="J4" s="160"/>
      <c r="K4" s="459" t="s">
        <v>308</v>
      </c>
      <c r="L4" s="459"/>
      <c r="M4" s="459"/>
    </row>
    <row r="5" spans="1:13" ht="16.5" customHeight="1">
      <c r="A5" s="160"/>
      <c r="B5" s="159"/>
      <c r="C5" s="159"/>
      <c r="D5" s="159"/>
      <c r="E5" s="161"/>
      <c r="F5" s="161"/>
      <c r="G5" s="161"/>
      <c r="H5" s="159"/>
      <c r="I5" s="162"/>
      <c r="J5" s="159"/>
      <c r="K5" s="205"/>
      <c r="L5" s="459" t="s">
        <v>309</v>
      </c>
      <c r="M5" s="459"/>
    </row>
    <row r="6" spans="1:13" ht="16.5" customHeight="1">
      <c r="A6" s="160"/>
      <c r="B6" s="159"/>
      <c r="C6" s="159"/>
      <c r="D6" s="159"/>
      <c r="E6" s="161"/>
      <c r="F6" s="161"/>
      <c r="G6" s="161"/>
      <c r="H6" s="159"/>
      <c r="I6" s="162"/>
      <c r="J6" s="159"/>
      <c r="K6" s="159"/>
      <c r="L6" s="205"/>
      <c r="M6" s="205"/>
    </row>
    <row r="7" spans="1:13" ht="1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15" customHeight="1">
      <c r="A8" s="460" t="s">
        <v>154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1"/>
    </row>
    <row r="9" spans="1:13" ht="21.75" customHeight="1">
      <c r="A9" s="463" t="s">
        <v>0</v>
      </c>
      <c r="B9" s="463" t="s">
        <v>1</v>
      </c>
      <c r="C9" s="463" t="s">
        <v>2</v>
      </c>
      <c r="D9" s="463" t="s">
        <v>74</v>
      </c>
      <c r="E9" s="463" t="s">
        <v>75</v>
      </c>
      <c r="F9" s="463"/>
      <c r="G9" s="463"/>
      <c r="H9" s="463"/>
      <c r="I9" s="463"/>
      <c r="J9" s="468" t="s">
        <v>23</v>
      </c>
      <c r="K9" s="463" t="s">
        <v>66</v>
      </c>
      <c r="L9" s="463"/>
      <c r="M9" s="463" t="s">
        <v>67</v>
      </c>
    </row>
    <row r="10" spans="1:13" ht="15" customHeight="1">
      <c r="A10" s="463"/>
      <c r="B10" s="463"/>
      <c r="C10" s="463"/>
      <c r="D10" s="463"/>
      <c r="E10" s="463"/>
      <c r="F10" s="463"/>
      <c r="G10" s="463"/>
      <c r="H10" s="463"/>
      <c r="I10" s="463"/>
      <c r="J10" s="469"/>
      <c r="K10" s="463"/>
      <c r="L10" s="463"/>
      <c r="M10" s="463"/>
    </row>
    <row r="11" spans="1:13" ht="30" customHeight="1">
      <c r="A11" s="463"/>
      <c r="B11" s="463"/>
      <c r="C11" s="463"/>
      <c r="D11" s="463"/>
      <c r="E11" s="463" t="s">
        <v>22</v>
      </c>
      <c r="F11" s="462" t="s">
        <v>6</v>
      </c>
      <c r="G11" s="462"/>
      <c r="H11" s="462"/>
      <c r="I11" s="462"/>
      <c r="J11" s="469"/>
      <c r="K11" s="463"/>
      <c r="L11" s="463"/>
      <c r="M11" s="463"/>
    </row>
    <row r="12" spans="1:13" ht="15" customHeight="1">
      <c r="A12" s="463"/>
      <c r="B12" s="463"/>
      <c r="C12" s="463"/>
      <c r="D12" s="463"/>
      <c r="E12" s="463"/>
      <c r="F12" s="463" t="s">
        <v>204</v>
      </c>
      <c r="G12" s="463"/>
      <c r="H12" s="463"/>
      <c r="I12" s="463" t="s">
        <v>25</v>
      </c>
      <c r="J12" s="469"/>
      <c r="K12" s="463"/>
      <c r="L12" s="463"/>
      <c r="M12" s="463"/>
    </row>
    <row r="13" spans="1:13" ht="15" customHeight="1">
      <c r="A13" s="463"/>
      <c r="B13" s="463"/>
      <c r="C13" s="463"/>
      <c r="D13" s="463"/>
      <c r="E13" s="463"/>
      <c r="F13" s="463" t="s">
        <v>205</v>
      </c>
      <c r="G13" s="463" t="s">
        <v>200</v>
      </c>
      <c r="H13" s="463"/>
      <c r="I13" s="463"/>
      <c r="J13" s="469"/>
      <c r="K13" s="463"/>
      <c r="L13" s="463"/>
      <c r="M13" s="463"/>
    </row>
    <row r="14" spans="1:13" ht="94.5" customHeight="1">
      <c r="A14" s="463"/>
      <c r="B14" s="463"/>
      <c r="C14" s="463"/>
      <c r="D14" s="463"/>
      <c r="E14" s="462"/>
      <c r="F14" s="463"/>
      <c r="G14" s="164" t="s">
        <v>206</v>
      </c>
      <c r="H14" s="164" t="s">
        <v>207</v>
      </c>
      <c r="I14" s="463"/>
      <c r="J14" s="470"/>
      <c r="K14" s="463"/>
      <c r="L14" s="463"/>
      <c r="M14" s="463"/>
    </row>
    <row r="15" spans="1:13" ht="15">
      <c r="A15" s="207">
        <v>1</v>
      </c>
      <c r="B15" s="207">
        <v>2</v>
      </c>
      <c r="C15" s="207">
        <v>3</v>
      </c>
      <c r="D15" s="207">
        <v>4</v>
      </c>
      <c r="E15" s="207">
        <v>5</v>
      </c>
      <c r="F15" s="207">
        <v>6</v>
      </c>
      <c r="G15" s="207">
        <v>7</v>
      </c>
      <c r="H15" s="207">
        <v>8</v>
      </c>
      <c r="I15" s="207">
        <v>9</v>
      </c>
      <c r="J15" s="207">
        <v>10</v>
      </c>
      <c r="K15" s="463">
        <v>11</v>
      </c>
      <c r="L15" s="463"/>
      <c r="M15" s="207">
        <v>12</v>
      </c>
    </row>
    <row r="16" spans="1:13" ht="15">
      <c r="A16" s="487" t="s">
        <v>68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</row>
    <row r="17" spans="1:16" ht="37.5" customHeight="1">
      <c r="A17" s="486" t="s">
        <v>112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P17" t="s">
        <v>37</v>
      </c>
    </row>
    <row r="18" spans="1:13" ht="18.75" customHeight="1">
      <c r="A18" s="463" t="s">
        <v>9</v>
      </c>
      <c r="B18" s="480" t="s">
        <v>116</v>
      </c>
      <c r="C18" s="207">
        <v>2017</v>
      </c>
      <c r="D18" s="27">
        <v>4</v>
      </c>
      <c r="E18" s="27"/>
      <c r="F18" s="27"/>
      <c r="G18" s="27"/>
      <c r="H18" s="27"/>
      <c r="I18" s="27">
        <v>4</v>
      </c>
      <c r="J18" s="211"/>
      <c r="K18" s="474" t="s">
        <v>69</v>
      </c>
      <c r="L18" s="468"/>
      <c r="M18" s="430" t="s">
        <v>117</v>
      </c>
    </row>
    <row r="19" spans="1:13" ht="22.5" customHeight="1">
      <c r="A19" s="485"/>
      <c r="B19" s="481"/>
      <c r="C19" s="207">
        <v>2018</v>
      </c>
      <c r="D19" s="28">
        <f>SUM(E19:I19)</f>
        <v>4</v>
      </c>
      <c r="E19" s="27"/>
      <c r="F19" s="27"/>
      <c r="G19" s="27"/>
      <c r="H19" s="29"/>
      <c r="I19" s="28">
        <v>4</v>
      </c>
      <c r="J19" s="90"/>
      <c r="K19" s="483"/>
      <c r="L19" s="469"/>
      <c r="M19" s="488"/>
    </row>
    <row r="20" spans="1:13" ht="18" customHeight="1">
      <c r="A20" s="485"/>
      <c r="B20" s="481"/>
      <c r="C20" s="207">
        <v>2019</v>
      </c>
      <c r="D20" s="27">
        <f>SUM(E20:I20)</f>
        <v>4</v>
      </c>
      <c r="E20" s="27"/>
      <c r="F20" s="27"/>
      <c r="G20" s="27"/>
      <c r="H20" s="29"/>
      <c r="I20" s="27">
        <v>4</v>
      </c>
      <c r="J20" s="90"/>
      <c r="K20" s="483"/>
      <c r="L20" s="469"/>
      <c r="M20" s="488"/>
    </row>
    <row r="21" spans="1:13" ht="15" customHeight="1">
      <c r="A21" s="485"/>
      <c r="B21" s="481"/>
      <c r="C21" s="207">
        <v>2020</v>
      </c>
      <c r="D21" s="27">
        <f>SUM(E21:I21)</f>
        <v>0</v>
      </c>
      <c r="E21" s="27"/>
      <c r="F21" s="27"/>
      <c r="G21" s="27"/>
      <c r="H21" s="29"/>
      <c r="I21" s="27">
        <v>0</v>
      </c>
      <c r="J21" s="90"/>
      <c r="K21" s="483"/>
      <c r="L21" s="469"/>
      <c r="M21" s="488"/>
    </row>
    <row r="22" spans="1:13" ht="17.25" customHeight="1">
      <c r="A22" s="485"/>
      <c r="B22" s="481"/>
      <c r="C22" s="207">
        <v>2021</v>
      </c>
      <c r="D22" s="27">
        <f>I22</f>
        <v>0</v>
      </c>
      <c r="E22" s="27"/>
      <c r="F22" s="27"/>
      <c r="G22" s="27"/>
      <c r="H22" s="29"/>
      <c r="I22" s="27">
        <v>0</v>
      </c>
      <c r="J22" s="90"/>
      <c r="K22" s="483"/>
      <c r="L22" s="469"/>
      <c r="M22" s="488"/>
    </row>
    <row r="23" spans="1:13" ht="18.75" customHeight="1">
      <c r="A23" s="485"/>
      <c r="B23" s="481"/>
      <c r="C23" s="207">
        <v>2022</v>
      </c>
      <c r="D23" s="27">
        <f>I23</f>
        <v>0</v>
      </c>
      <c r="E23" s="27"/>
      <c r="F23" s="27"/>
      <c r="G23" s="27"/>
      <c r="H23" s="29"/>
      <c r="I23" s="27">
        <v>0</v>
      </c>
      <c r="J23" s="90"/>
      <c r="K23" s="483"/>
      <c r="L23" s="469"/>
      <c r="M23" s="488"/>
    </row>
    <row r="24" spans="1:13" ht="14.25" customHeight="1">
      <c r="A24" s="485"/>
      <c r="B24" s="482"/>
      <c r="C24" s="207">
        <v>2023</v>
      </c>
      <c r="D24" s="27">
        <f>I24</f>
        <v>0</v>
      </c>
      <c r="E24" s="27"/>
      <c r="F24" s="27"/>
      <c r="G24" s="27"/>
      <c r="H24" s="29"/>
      <c r="I24" s="27">
        <v>0</v>
      </c>
      <c r="J24" s="90"/>
      <c r="K24" s="484"/>
      <c r="L24" s="470"/>
      <c r="M24" s="431"/>
    </row>
    <row r="25" spans="1:13" ht="15.75" customHeight="1">
      <c r="A25" s="465" t="s">
        <v>118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7"/>
    </row>
    <row r="26" spans="1:13" ht="18.75" customHeight="1">
      <c r="A26" s="463" t="s">
        <v>115</v>
      </c>
      <c r="B26" s="463" t="s">
        <v>119</v>
      </c>
      <c r="C26" s="206">
        <v>2017</v>
      </c>
      <c r="D26" s="30">
        <v>1.5</v>
      </c>
      <c r="E26" s="206"/>
      <c r="F26" s="206"/>
      <c r="G26" s="206"/>
      <c r="H26" s="206"/>
      <c r="I26" s="30">
        <v>1.5</v>
      </c>
      <c r="J26" s="90"/>
      <c r="K26" s="474" t="s">
        <v>72</v>
      </c>
      <c r="L26" s="468"/>
      <c r="M26" s="480" t="s">
        <v>139</v>
      </c>
    </row>
    <row r="27" spans="1:16" ht="21.75" customHeight="1">
      <c r="A27" s="463"/>
      <c r="B27" s="463"/>
      <c r="C27" s="207">
        <v>2018</v>
      </c>
      <c r="D27" s="27">
        <f>SUM(E27:I27)</f>
        <v>1.5</v>
      </c>
      <c r="E27" s="27"/>
      <c r="F27" s="27"/>
      <c r="G27" s="27"/>
      <c r="H27" s="30"/>
      <c r="I27" s="27">
        <v>1.5</v>
      </c>
      <c r="J27" s="90"/>
      <c r="K27" s="483"/>
      <c r="L27" s="469"/>
      <c r="M27" s="481"/>
      <c r="N27" t="s">
        <v>37</v>
      </c>
      <c r="P27" t="s">
        <v>37</v>
      </c>
    </row>
    <row r="28" spans="1:13" ht="17.25" customHeight="1">
      <c r="A28" s="463"/>
      <c r="B28" s="463"/>
      <c r="C28" s="207">
        <v>2019</v>
      </c>
      <c r="D28" s="27">
        <f>SUM(E28:I28)</f>
        <v>1.5</v>
      </c>
      <c r="E28" s="27"/>
      <c r="F28" s="27"/>
      <c r="G28" s="27"/>
      <c r="H28" s="30"/>
      <c r="I28" s="27">
        <v>1.5</v>
      </c>
      <c r="J28" s="90"/>
      <c r="K28" s="483"/>
      <c r="L28" s="469"/>
      <c r="M28" s="481"/>
    </row>
    <row r="29" spans="1:13" ht="14.25" customHeight="1">
      <c r="A29" s="463"/>
      <c r="B29" s="463"/>
      <c r="C29" s="207">
        <v>2020</v>
      </c>
      <c r="D29" s="27">
        <f>SUM(E29:I29)</f>
        <v>4.807</v>
      </c>
      <c r="E29" s="27"/>
      <c r="F29" s="27"/>
      <c r="G29" s="27"/>
      <c r="H29" s="30"/>
      <c r="I29" s="220">
        <f>1.5+3.307</f>
        <v>4.807</v>
      </c>
      <c r="J29" s="90"/>
      <c r="K29" s="483"/>
      <c r="L29" s="469"/>
      <c r="M29" s="481"/>
    </row>
    <row r="30" spans="1:13" ht="15" customHeight="1">
      <c r="A30" s="463"/>
      <c r="B30" s="463"/>
      <c r="C30" s="207">
        <v>2021</v>
      </c>
      <c r="D30" s="27">
        <f>I30</f>
        <v>1.5</v>
      </c>
      <c r="E30" s="27"/>
      <c r="F30" s="27"/>
      <c r="G30" s="27"/>
      <c r="H30" s="30"/>
      <c r="I30" s="27">
        <v>1.5</v>
      </c>
      <c r="J30" s="206"/>
      <c r="K30" s="483"/>
      <c r="L30" s="469"/>
      <c r="M30" s="481"/>
    </row>
    <row r="31" spans="1:13" ht="18" customHeight="1">
      <c r="A31" s="463"/>
      <c r="B31" s="463"/>
      <c r="C31" s="207">
        <v>2022</v>
      </c>
      <c r="D31" s="27">
        <f>I31</f>
        <v>0</v>
      </c>
      <c r="E31" s="27"/>
      <c r="F31" s="27"/>
      <c r="G31" s="27"/>
      <c r="H31" s="30"/>
      <c r="I31" s="27">
        <v>0</v>
      </c>
      <c r="J31" s="206"/>
      <c r="K31" s="483"/>
      <c r="L31" s="469"/>
      <c r="M31" s="481"/>
    </row>
    <row r="32" spans="1:13" ht="18.75" customHeight="1">
      <c r="A32" s="463"/>
      <c r="B32" s="463"/>
      <c r="C32" s="207">
        <v>2023</v>
      </c>
      <c r="D32" s="27">
        <f>I32</f>
        <v>0</v>
      </c>
      <c r="E32" s="27"/>
      <c r="F32" s="27"/>
      <c r="G32" s="27"/>
      <c r="H32" s="30"/>
      <c r="I32" s="27">
        <v>0</v>
      </c>
      <c r="J32" s="206"/>
      <c r="K32" s="484"/>
      <c r="L32" s="470"/>
      <c r="M32" s="482"/>
    </row>
    <row r="33" spans="1:13" ht="15.75" customHeight="1">
      <c r="A33" s="465" t="s">
        <v>120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7"/>
    </row>
    <row r="34" spans="1:13" ht="17.25" customHeight="1">
      <c r="A34" s="480" t="s">
        <v>121</v>
      </c>
      <c r="B34" s="480" t="s">
        <v>122</v>
      </c>
      <c r="C34" s="206">
        <v>2017</v>
      </c>
      <c r="D34" s="30">
        <f>I34</f>
        <v>7.6</v>
      </c>
      <c r="E34" s="30"/>
      <c r="F34" s="30"/>
      <c r="G34" s="30"/>
      <c r="H34" s="30"/>
      <c r="I34" s="30">
        <v>7.6</v>
      </c>
      <c r="J34" s="90"/>
      <c r="K34" s="474" t="s">
        <v>69</v>
      </c>
      <c r="L34" s="468"/>
      <c r="M34" s="468" t="s">
        <v>123</v>
      </c>
    </row>
    <row r="35" spans="1:14" ht="15" customHeight="1">
      <c r="A35" s="481"/>
      <c r="B35" s="481"/>
      <c r="C35" s="207">
        <v>2018</v>
      </c>
      <c r="D35" s="27">
        <f>SUM(E35:I35)</f>
        <v>1.75</v>
      </c>
      <c r="E35" s="27"/>
      <c r="F35" s="27"/>
      <c r="G35" s="27"/>
      <c r="H35" s="30"/>
      <c r="I35" s="27">
        <v>1.75</v>
      </c>
      <c r="J35" s="90"/>
      <c r="K35" s="483"/>
      <c r="L35" s="469"/>
      <c r="M35" s="469"/>
      <c r="N35" t="s">
        <v>37</v>
      </c>
    </row>
    <row r="36" spans="1:15" ht="18.75" customHeight="1">
      <c r="A36" s="481"/>
      <c r="B36" s="481"/>
      <c r="C36" s="207">
        <v>2019</v>
      </c>
      <c r="D36" s="27">
        <f>SUM(E36:I36)</f>
        <v>7.6</v>
      </c>
      <c r="E36" s="27"/>
      <c r="F36" s="27"/>
      <c r="G36" s="27"/>
      <c r="H36" s="30"/>
      <c r="I36" s="27">
        <v>7.6</v>
      </c>
      <c r="J36" s="90"/>
      <c r="K36" s="483"/>
      <c r="L36" s="469"/>
      <c r="M36" s="469"/>
      <c r="O36" s="4"/>
    </row>
    <row r="37" spans="1:20" ht="14.25" customHeight="1">
      <c r="A37" s="481"/>
      <c r="B37" s="481"/>
      <c r="C37" s="209">
        <v>2020</v>
      </c>
      <c r="D37" s="27">
        <f>SUM(E37:I37)</f>
        <v>6.6</v>
      </c>
      <c r="E37" s="27"/>
      <c r="F37" s="27"/>
      <c r="G37" s="27"/>
      <c r="H37" s="30"/>
      <c r="I37" s="27">
        <v>6.6</v>
      </c>
      <c r="J37" s="90"/>
      <c r="K37" s="483"/>
      <c r="L37" s="469"/>
      <c r="M37" s="469"/>
      <c r="T37" t="s">
        <v>37</v>
      </c>
    </row>
    <row r="38" spans="1:13" ht="18" customHeight="1">
      <c r="A38" s="481"/>
      <c r="B38" s="481"/>
      <c r="C38" s="209">
        <v>2021</v>
      </c>
      <c r="D38" s="27">
        <f>I38</f>
        <v>0</v>
      </c>
      <c r="E38" s="27"/>
      <c r="F38" s="27"/>
      <c r="G38" s="27"/>
      <c r="H38" s="30"/>
      <c r="I38" s="27">
        <v>0</v>
      </c>
      <c r="J38" s="206"/>
      <c r="K38" s="483"/>
      <c r="L38" s="469"/>
      <c r="M38" s="469"/>
    </row>
    <row r="39" spans="1:13" ht="18.75" customHeight="1">
      <c r="A39" s="481"/>
      <c r="B39" s="481"/>
      <c r="C39" s="209">
        <v>2022</v>
      </c>
      <c r="D39" s="27">
        <f>I39</f>
        <v>0</v>
      </c>
      <c r="E39" s="27"/>
      <c r="F39" s="27"/>
      <c r="G39" s="27"/>
      <c r="H39" s="30"/>
      <c r="I39" s="27">
        <v>0</v>
      </c>
      <c r="J39" s="206"/>
      <c r="K39" s="483"/>
      <c r="L39" s="469"/>
      <c r="M39" s="469"/>
    </row>
    <row r="40" spans="1:13" ht="18" customHeight="1">
      <c r="A40" s="482"/>
      <c r="B40" s="482"/>
      <c r="C40" s="209">
        <v>2023</v>
      </c>
      <c r="D40" s="27">
        <f>I40</f>
        <v>0</v>
      </c>
      <c r="E40" s="27"/>
      <c r="F40" s="27"/>
      <c r="G40" s="27"/>
      <c r="H40" s="30"/>
      <c r="I40" s="27">
        <v>0</v>
      </c>
      <c r="J40" s="206"/>
      <c r="K40" s="484"/>
      <c r="L40" s="470"/>
      <c r="M40" s="469"/>
    </row>
    <row r="41" spans="1:13" ht="18" customHeight="1">
      <c r="A41" s="480" t="s">
        <v>61</v>
      </c>
      <c r="B41" s="480" t="s">
        <v>124</v>
      </c>
      <c r="C41" s="209">
        <v>2017</v>
      </c>
      <c r="D41" s="27">
        <f>I41</f>
        <v>6.4</v>
      </c>
      <c r="E41" s="27"/>
      <c r="F41" s="27"/>
      <c r="G41" s="27"/>
      <c r="H41" s="30"/>
      <c r="I41" s="27">
        <v>6.4</v>
      </c>
      <c r="J41" s="90"/>
      <c r="K41" s="474" t="s">
        <v>69</v>
      </c>
      <c r="L41" s="468"/>
      <c r="M41" s="469"/>
    </row>
    <row r="42" spans="1:17" ht="24" customHeight="1">
      <c r="A42" s="481"/>
      <c r="B42" s="481"/>
      <c r="C42" s="207">
        <v>2018</v>
      </c>
      <c r="D42" s="27">
        <f>SUM(E42:I42)</f>
        <v>0</v>
      </c>
      <c r="E42" s="27"/>
      <c r="F42" s="27"/>
      <c r="G42" s="27"/>
      <c r="H42" s="30"/>
      <c r="I42" s="27">
        <v>0</v>
      </c>
      <c r="J42" s="90"/>
      <c r="K42" s="483"/>
      <c r="L42" s="469"/>
      <c r="M42" s="469"/>
      <c r="Q42" t="s">
        <v>37</v>
      </c>
    </row>
    <row r="43" spans="1:13" ht="21" customHeight="1">
      <c r="A43" s="481"/>
      <c r="B43" s="481"/>
      <c r="C43" s="207">
        <v>2019</v>
      </c>
      <c r="D43" s="27">
        <f>SUM(E43:I43)</f>
        <v>3</v>
      </c>
      <c r="E43" s="27"/>
      <c r="F43" s="27"/>
      <c r="G43" s="27"/>
      <c r="H43" s="30"/>
      <c r="I43" s="27">
        <v>3</v>
      </c>
      <c r="J43" s="90"/>
      <c r="K43" s="483"/>
      <c r="L43" s="469"/>
      <c r="M43" s="469"/>
    </row>
    <row r="44" spans="1:13" ht="18" customHeight="1">
      <c r="A44" s="481"/>
      <c r="B44" s="481"/>
      <c r="C44" s="209">
        <v>2020</v>
      </c>
      <c r="D44" s="27">
        <f>SUM(E44:I44)</f>
        <v>0</v>
      </c>
      <c r="E44" s="27"/>
      <c r="F44" s="27"/>
      <c r="G44" s="27"/>
      <c r="H44" s="30"/>
      <c r="I44" s="27">
        <v>0</v>
      </c>
      <c r="J44" s="90"/>
      <c r="K44" s="483"/>
      <c r="L44" s="469"/>
      <c r="M44" s="469"/>
    </row>
    <row r="45" spans="1:13" ht="19.5" customHeight="1">
      <c r="A45" s="481"/>
      <c r="B45" s="481"/>
      <c r="C45" s="209">
        <v>2021</v>
      </c>
      <c r="D45" s="27">
        <f>I45</f>
        <v>0</v>
      </c>
      <c r="E45" s="27"/>
      <c r="F45" s="27"/>
      <c r="G45" s="27"/>
      <c r="H45" s="30"/>
      <c r="I45" s="27">
        <v>0</v>
      </c>
      <c r="J45" s="206"/>
      <c r="K45" s="483"/>
      <c r="L45" s="469"/>
      <c r="M45" s="469"/>
    </row>
    <row r="46" spans="1:13" ht="21" customHeight="1">
      <c r="A46" s="481"/>
      <c r="B46" s="481"/>
      <c r="C46" s="209">
        <v>2022</v>
      </c>
      <c r="D46" s="27">
        <f>I46</f>
        <v>0</v>
      </c>
      <c r="E46" s="27"/>
      <c r="F46" s="27"/>
      <c r="G46" s="27"/>
      <c r="H46" s="30"/>
      <c r="I46" s="27">
        <v>0</v>
      </c>
      <c r="J46" s="206"/>
      <c r="K46" s="483"/>
      <c r="L46" s="469"/>
      <c r="M46" s="469"/>
    </row>
    <row r="47" spans="1:13" ht="24" customHeight="1">
      <c r="A47" s="482"/>
      <c r="B47" s="482"/>
      <c r="C47" s="209">
        <v>2023</v>
      </c>
      <c r="D47" s="27">
        <f>I47</f>
        <v>0</v>
      </c>
      <c r="E47" s="27"/>
      <c r="F47" s="27"/>
      <c r="G47" s="27"/>
      <c r="H47" s="30"/>
      <c r="I47" s="27">
        <v>0</v>
      </c>
      <c r="J47" s="206"/>
      <c r="K47" s="484"/>
      <c r="L47" s="470"/>
      <c r="M47" s="469"/>
    </row>
    <row r="48" spans="1:13" ht="23.25" customHeight="1">
      <c r="A48" s="480" t="s">
        <v>125</v>
      </c>
      <c r="B48" s="480" t="s">
        <v>126</v>
      </c>
      <c r="C48" s="209">
        <v>2017</v>
      </c>
      <c r="D48" s="27">
        <f>I48</f>
        <v>0</v>
      </c>
      <c r="E48" s="27"/>
      <c r="F48" s="27"/>
      <c r="G48" s="27"/>
      <c r="H48" s="30"/>
      <c r="I48" s="27">
        <v>0</v>
      </c>
      <c r="J48" s="206"/>
      <c r="K48" s="474" t="s">
        <v>69</v>
      </c>
      <c r="L48" s="468"/>
      <c r="M48" s="469"/>
    </row>
    <row r="49" spans="1:13" ht="20.25" customHeight="1">
      <c r="A49" s="481"/>
      <c r="B49" s="481"/>
      <c r="C49" s="207">
        <v>2018</v>
      </c>
      <c r="D49" s="27">
        <f>SUM(E49:I49)</f>
        <v>1.75</v>
      </c>
      <c r="E49" s="27"/>
      <c r="F49" s="27"/>
      <c r="G49" s="27"/>
      <c r="H49" s="30"/>
      <c r="I49" s="27">
        <v>1.75</v>
      </c>
      <c r="J49" s="90"/>
      <c r="K49" s="483"/>
      <c r="L49" s="469"/>
      <c r="M49" s="469"/>
    </row>
    <row r="50" spans="1:18" ht="21" customHeight="1">
      <c r="A50" s="481"/>
      <c r="B50" s="481"/>
      <c r="C50" s="207">
        <v>2019</v>
      </c>
      <c r="D50" s="27">
        <f>SUM(E50:I50)</f>
        <v>0</v>
      </c>
      <c r="E50" s="27"/>
      <c r="F50" s="27"/>
      <c r="G50" s="27"/>
      <c r="H50" s="29"/>
      <c r="I50" s="27">
        <v>0</v>
      </c>
      <c r="J50" s="90"/>
      <c r="K50" s="483"/>
      <c r="L50" s="469"/>
      <c r="M50" s="469"/>
      <c r="Q50" t="s">
        <v>37</v>
      </c>
      <c r="R50" t="s">
        <v>37</v>
      </c>
    </row>
    <row r="51" spans="1:13" ht="19.5" customHeight="1">
      <c r="A51" s="481"/>
      <c r="B51" s="481"/>
      <c r="C51" s="209">
        <v>2020</v>
      </c>
      <c r="D51" s="27">
        <f>SUM(E51:I51)</f>
        <v>0</v>
      </c>
      <c r="E51" s="27"/>
      <c r="F51" s="27"/>
      <c r="G51" s="27"/>
      <c r="H51" s="29"/>
      <c r="I51" s="27">
        <v>0</v>
      </c>
      <c r="J51" s="90"/>
      <c r="K51" s="483"/>
      <c r="L51" s="469"/>
      <c r="M51" s="469"/>
    </row>
    <row r="52" spans="1:13" ht="18" customHeight="1">
      <c r="A52" s="481"/>
      <c r="B52" s="481"/>
      <c r="C52" s="209">
        <v>2021</v>
      </c>
      <c r="D52" s="27">
        <f>I52</f>
        <v>0</v>
      </c>
      <c r="E52" s="27"/>
      <c r="F52" s="27"/>
      <c r="G52" s="27"/>
      <c r="H52" s="29"/>
      <c r="I52" s="27">
        <v>0</v>
      </c>
      <c r="J52" s="90"/>
      <c r="K52" s="483"/>
      <c r="L52" s="469"/>
      <c r="M52" s="469"/>
    </row>
    <row r="53" spans="1:13" ht="21" customHeight="1">
      <c r="A53" s="481"/>
      <c r="B53" s="481"/>
      <c r="C53" s="209">
        <v>2022</v>
      </c>
      <c r="D53" s="27">
        <f>I53</f>
        <v>0</v>
      </c>
      <c r="E53" s="27"/>
      <c r="F53" s="27"/>
      <c r="G53" s="27"/>
      <c r="H53" s="29"/>
      <c r="I53" s="27">
        <v>0</v>
      </c>
      <c r="J53" s="90"/>
      <c r="K53" s="483"/>
      <c r="L53" s="469"/>
      <c r="M53" s="469"/>
    </row>
    <row r="54" spans="1:13" ht="22.5" customHeight="1">
      <c r="A54" s="482"/>
      <c r="B54" s="482"/>
      <c r="C54" s="209">
        <v>2023</v>
      </c>
      <c r="D54" s="27">
        <f>I54</f>
        <v>0</v>
      </c>
      <c r="E54" s="27"/>
      <c r="F54" s="27"/>
      <c r="G54" s="27"/>
      <c r="H54" s="29"/>
      <c r="I54" s="27">
        <v>0</v>
      </c>
      <c r="J54" s="90"/>
      <c r="K54" s="484"/>
      <c r="L54" s="470"/>
      <c r="M54" s="469"/>
    </row>
    <row r="55" spans="1:13" ht="20.25" customHeight="1">
      <c r="A55" s="480" t="s">
        <v>127</v>
      </c>
      <c r="B55" s="480" t="s">
        <v>128</v>
      </c>
      <c r="C55" s="209">
        <v>2017</v>
      </c>
      <c r="D55" s="27">
        <f>I55</f>
        <v>1.2</v>
      </c>
      <c r="E55" s="27"/>
      <c r="F55" s="27"/>
      <c r="G55" s="27"/>
      <c r="H55" s="29"/>
      <c r="I55" s="27">
        <v>1.2</v>
      </c>
      <c r="J55" s="90"/>
      <c r="K55" s="474" t="s">
        <v>69</v>
      </c>
      <c r="L55" s="468"/>
      <c r="M55" s="469"/>
    </row>
    <row r="56" spans="1:13" ht="18.75" customHeight="1">
      <c r="A56" s="481"/>
      <c r="B56" s="481"/>
      <c r="C56" s="207">
        <v>2018</v>
      </c>
      <c r="D56" s="27">
        <f>SUM(E56:I56)</f>
        <v>0</v>
      </c>
      <c r="E56" s="27"/>
      <c r="F56" s="27"/>
      <c r="G56" s="27"/>
      <c r="H56" s="29"/>
      <c r="I56" s="27">
        <v>0</v>
      </c>
      <c r="J56" s="90"/>
      <c r="K56" s="483"/>
      <c r="L56" s="469"/>
      <c r="M56" s="469"/>
    </row>
    <row r="57" spans="1:13" ht="20.25" customHeight="1">
      <c r="A57" s="481"/>
      <c r="B57" s="481"/>
      <c r="C57" s="207">
        <v>2019</v>
      </c>
      <c r="D57" s="27">
        <f>SUM(E57:I57)</f>
        <v>4.6</v>
      </c>
      <c r="E57" s="27"/>
      <c r="F57" s="27"/>
      <c r="G57" s="27"/>
      <c r="H57" s="29"/>
      <c r="I57" s="27">
        <v>4.6</v>
      </c>
      <c r="J57" s="90"/>
      <c r="K57" s="483"/>
      <c r="L57" s="469"/>
      <c r="M57" s="469"/>
    </row>
    <row r="58" spans="1:21" ht="18.75" customHeight="1">
      <c r="A58" s="481"/>
      <c r="B58" s="481"/>
      <c r="C58" s="209">
        <v>2020</v>
      </c>
      <c r="D58" s="27">
        <f>SUM(E58:I58)</f>
        <v>6</v>
      </c>
      <c r="E58" s="27"/>
      <c r="F58" s="27"/>
      <c r="G58" s="27"/>
      <c r="H58" s="29"/>
      <c r="I58" s="27">
        <v>6</v>
      </c>
      <c r="J58" s="90"/>
      <c r="K58" s="483"/>
      <c r="L58" s="469"/>
      <c r="M58" s="469"/>
      <c r="U58" t="s">
        <v>37</v>
      </c>
    </row>
    <row r="59" spans="1:13" ht="16.5" customHeight="1">
      <c r="A59" s="481"/>
      <c r="B59" s="481"/>
      <c r="C59" s="209">
        <v>2021</v>
      </c>
      <c r="D59" s="27">
        <f>I59</f>
        <v>0</v>
      </c>
      <c r="E59" s="27"/>
      <c r="F59" s="27"/>
      <c r="G59" s="27"/>
      <c r="H59" s="29"/>
      <c r="I59" s="27">
        <v>0</v>
      </c>
      <c r="J59" s="206"/>
      <c r="K59" s="483"/>
      <c r="L59" s="469"/>
      <c r="M59" s="469"/>
    </row>
    <row r="60" spans="1:13" ht="21" customHeight="1">
      <c r="A60" s="481"/>
      <c r="B60" s="481"/>
      <c r="C60" s="209">
        <v>2022</v>
      </c>
      <c r="D60" s="27">
        <f>I60</f>
        <v>0</v>
      </c>
      <c r="E60" s="27"/>
      <c r="F60" s="27"/>
      <c r="G60" s="27"/>
      <c r="H60" s="29"/>
      <c r="I60" s="27">
        <v>0</v>
      </c>
      <c r="J60" s="206"/>
      <c r="K60" s="483"/>
      <c r="L60" s="469"/>
      <c r="M60" s="469"/>
    </row>
    <row r="61" spans="1:13" ht="21" customHeight="1">
      <c r="A61" s="482"/>
      <c r="B61" s="482"/>
      <c r="C61" s="209">
        <v>2023</v>
      </c>
      <c r="D61" s="27">
        <f>I61</f>
        <v>0</v>
      </c>
      <c r="E61" s="27"/>
      <c r="F61" s="27"/>
      <c r="G61" s="27"/>
      <c r="H61" s="29"/>
      <c r="I61" s="27">
        <v>0</v>
      </c>
      <c r="J61" s="206"/>
      <c r="K61" s="484"/>
      <c r="L61" s="470"/>
      <c r="M61" s="469"/>
    </row>
    <row r="62" spans="1:13" ht="19.5" customHeight="1">
      <c r="A62" s="480" t="s">
        <v>129</v>
      </c>
      <c r="B62" s="480" t="s">
        <v>130</v>
      </c>
      <c r="C62" s="209">
        <v>2017</v>
      </c>
      <c r="D62" s="27">
        <f>I62</f>
        <v>0</v>
      </c>
      <c r="E62" s="27"/>
      <c r="F62" s="27"/>
      <c r="G62" s="27"/>
      <c r="H62" s="29"/>
      <c r="I62" s="27">
        <v>0</v>
      </c>
      <c r="J62" s="90"/>
      <c r="K62" s="474" t="s">
        <v>69</v>
      </c>
      <c r="L62" s="468"/>
      <c r="M62" s="469"/>
    </row>
    <row r="63" spans="1:13" ht="15" customHeight="1">
      <c r="A63" s="481"/>
      <c r="B63" s="481"/>
      <c r="C63" s="207">
        <v>2018</v>
      </c>
      <c r="D63" s="27">
        <f>SUM(E63:I63)</f>
        <v>0</v>
      </c>
      <c r="E63" s="27"/>
      <c r="F63" s="27"/>
      <c r="G63" s="27"/>
      <c r="H63" s="29"/>
      <c r="I63" s="27">
        <v>0</v>
      </c>
      <c r="J63" s="90"/>
      <c r="K63" s="483"/>
      <c r="L63" s="469"/>
      <c r="M63" s="469"/>
    </row>
    <row r="64" spans="1:13" ht="27" customHeight="1">
      <c r="A64" s="481"/>
      <c r="B64" s="481"/>
      <c r="C64" s="207">
        <v>2019</v>
      </c>
      <c r="D64" s="27">
        <f>SUM(E64:I64)</f>
        <v>0</v>
      </c>
      <c r="E64" s="27"/>
      <c r="F64" s="27"/>
      <c r="G64" s="27"/>
      <c r="H64" s="29"/>
      <c r="I64" s="27">
        <v>0</v>
      </c>
      <c r="J64" s="90"/>
      <c r="K64" s="483"/>
      <c r="L64" s="469"/>
      <c r="M64" s="469"/>
    </row>
    <row r="65" spans="1:16" ht="21" customHeight="1">
      <c r="A65" s="481"/>
      <c r="B65" s="481"/>
      <c r="C65" s="209">
        <v>2020</v>
      </c>
      <c r="D65" s="27">
        <f>SUM(E65:I65)</f>
        <v>0</v>
      </c>
      <c r="E65" s="27"/>
      <c r="F65" s="27"/>
      <c r="G65" s="27"/>
      <c r="H65" s="29"/>
      <c r="I65" s="27">
        <v>0</v>
      </c>
      <c r="J65" s="90"/>
      <c r="K65" s="483"/>
      <c r="L65" s="469"/>
      <c r="M65" s="469"/>
      <c r="P65" t="s">
        <v>37</v>
      </c>
    </row>
    <row r="66" spans="1:13" ht="18" customHeight="1">
      <c r="A66" s="481"/>
      <c r="B66" s="481"/>
      <c r="C66" s="209">
        <v>2021</v>
      </c>
      <c r="D66" s="27">
        <v>0</v>
      </c>
      <c r="E66" s="27"/>
      <c r="F66" s="27"/>
      <c r="G66" s="27"/>
      <c r="H66" s="29"/>
      <c r="I66" s="27">
        <v>0</v>
      </c>
      <c r="J66" s="206"/>
      <c r="K66" s="483"/>
      <c r="L66" s="469"/>
      <c r="M66" s="469"/>
    </row>
    <row r="67" spans="1:13" ht="22.5" customHeight="1">
      <c r="A67" s="481"/>
      <c r="B67" s="481"/>
      <c r="C67" s="209">
        <v>2022</v>
      </c>
      <c r="D67" s="27">
        <f>I613</f>
        <v>0</v>
      </c>
      <c r="E67" s="27"/>
      <c r="F67" s="27"/>
      <c r="G67" s="27"/>
      <c r="H67" s="29"/>
      <c r="I67" s="27">
        <v>0</v>
      </c>
      <c r="J67" s="206"/>
      <c r="K67" s="483"/>
      <c r="L67" s="469"/>
      <c r="M67" s="469"/>
    </row>
    <row r="68" spans="1:13" ht="18" customHeight="1">
      <c r="A68" s="482"/>
      <c r="B68" s="482"/>
      <c r="C68" s="209">
        <v>2023</v>
      </c>
      <c r="D68" s="27">
        <f>I68</f>
        <v>0</v>
      </c>
      <c r="E68" s="27"/>
      <c r="F68" s="27"/>
      <c r="G68" s="27"/>
      <c r="H68" s="29"/>
      <c r="I68" s="27">
        <v>0</v>
      </c>
      <c r="J68" s="206"/>
      <c r="K68" s="484"/>
      <c r="L68" s="470"/>
      <c r="M68" s="469"/>
    </row>
    <row r="69" spans="1:13" ht="17.25" customHeight="1">
      <c r="A69" s="480" t="s">
        <v>131</v>
      </c>
      <c r="B69" s="480" t="s">
        <v>132</v>
      </c>
      <c r="C69" s="209">
        <v>2017</v>
      </c>
      <c r="D69" s="27">
        <f>I69</f>
        <v>0</v>
      </c>
      <c r="E69" s="27"/>
      <c r="F69" s="27"/>
      <c r="G69" s="27"/>
      <c r="H69" s="29"/>
      <c r="I69" s="27">
        <v>0</v>
      </c>
      <c r="J69" s="90"/>
      <c r="K69" s="474" t="s">
        <v>69</v>
      </c>
      <c r="L69" s="468"/>
      <c r="M69" s="469"/>
    </row>
    <row r="70" spans="1:13" ht="18" customHeight="1">
      <c r="A70" s="481"/>
      <c r="B70" s="481"/>
      <c r="C70" s="207">
        <v>2018</v>
      </c>
      <c r="D70" s="27">
        <f>SUM(E70:I70)</f>
        <v>0</v>
      </c>
      <c r="E70" s="27"/>
      <c r="F70" s="27"/>
      <c r="G70" s="27"/>
      <c r="H70" s="29"/>
      <c r="I70" s="27">
        <v>0</v>
      </c>
      <c r="J70" s="90"/>
      <c r="K70" s="483"/>
      <c r="L70" s="469"/>
      <c r="M70" s="469"/>
    </row>
    <row r="71" spans="1:15" ht="21" customHeight="1">
      <c r="A71" s="481"/>
      <c r="B71" s="481"/>
      <c r="C71" s="207">
        <v>2019</v>
      </c>
      <c r="D71" s="27">
        <f>SUM(E71:I71)</f>
        <v>0</v>
      </c>
      <c r="E71" s="27"/>
      <c r="F71" s="27"/>
      <c r="G71" s="27"/>
      <c r="H71" s="29"/>
      <c r="I71" s="27">
        <v>0</v>
      </c>
      <c r="J71" s="90"/>
      <c r="K71" s="483"/>
      <c r="L71" s="469"/>
      <c r="M71" s="469"/>
      <c r="O71" t="s">
        <v>37</v>
      </c>
    </row>
    <row r="72" spans="1:13" ht="18" customHeight="1">
      <c r="A72" s="481"/>
      <c r="B72" s="481"/>
      <c r="C72" s="209">
        <v>2020</v>
      </c>
      <c r="D72" s="27">
        <f>SUM(E72:I72)</f>
        <v>0</v>
      </c>
      <c r="E72" s="27"/>
      <c r="F72" s="27"/>
      <c r="G72" s="27"/>
      <c r="H72" s="29"/>
      <c r="I72" s="27">
        <v>0</v>
      </c>
      <c r="J72" s="90"/>
      <c r="K72" s="483"/>
      <c r="L72" s="469"/>
      <c r="M72" s="469"/>
    </row>
    <row r="73" spans="1:13" ht="24" customHeight="1">
      <c r="A73" s="481"/>
      <c r="B73" s="481"/>
      <c r="C73" s="209">
        <v>2021</v>
      </c>
      <c r="D73" s="27">
        <v>0</v>
      </c>
      <c r="E73" s="27"/>
      <c r="F73" s="27"/>
      <c r="G73" s="27"/>
      <c r="H73" s="29"/>
      <c r="I73" s="27">
        <v>0</v>
      </c>
      <c r="J73" s="206"/>
      <c r="K73" s="483"/>
      <c r="L73" s="469"/>
      <c r="M73" s="469"/>
    </row>
    <row r="74" spans="1:13" ht="21.75" customHeight="1">
      <c r="A74" s="481"/>
      <c r="B74" s="481"/>
      <c r="C74" s="209">
        <v>2022</v>
      </c>
      <c r="D74" s="27">
        <f>I664</f>
        <v>0</v>
      </c>
      <c r="E74" s="27"/>
      <c r="F74" s="27"/>
      <c r="G74" s="27"/>
      <c r="H74" s="29"/>
      <c r="I74" s="27">
        <v>0</v>
      </c>
      <c r="J74" s="206"/>
      <c r="K74" s="483"/>
      <c r="L74" s="469"/>
      <c r="M74" s="469"/>
    </row>
    <row r="75" spans="1:13" ht="24.75" customHeight="1">
      <c r="A75" s="482"/>
      <c r="B75" s="482"/>
      <c r="C75" s="209">
        <v>2023</v>
      </c>
      <c r="D75" s="27">
        <f>I75</f>
        <v>0</v>
      </c>
      <c r="E75" s="27"/>
      <c r="F75" s="27"/>
      <c r="G75" s="27"/>
      <c r="H75" s="29"/>
      <c r="I75" s="27">
        <v>0</v>
      </c>
      <c r="J75" s="206"/>
      <c r="K75" s="484"/>
      <c r="L75" s="470"/>
      <c r="M75" s="469"/>
    </row>
    <row r="76" spans="1:13" ht="21.75" customHeight="1">
      <c r="A76" s="480" t="s">
        <v>133</v>
      </c>
      <c r="B76" s="480" t="s">
        <v>134</v>
      </c>
      <c r="C76" s="209">
        <v>2017</v>
      </c>
      <c r="D76" s="27">
        <f>I76</f>
        <v>0</v>
      </c>
      <c r="E76" s="27"/>
      <c r="F76" s="27"/>
      <c r="G76" s="27"/>
      <c r="H76" s="29"/>
      <c r="I76" s="27">
        <v>0</v>
      </c>
      <c r="J76" s="90"/>
      <c r="K76" s="474" t="s">
        <v>69</v>
      </c>
      <c r="L76" s="468"/>
      <c r="M76" s="469"/>
    </row>
    <row r="77" spans="1:13" ht="21" customHeight="1">
      <c r="A77" s="481"/>
      <c r="B77" s="481"/>
      <c r="C77" s="207">
        <v>2018</v>
      </c>
      <c r="D77" s="27">
        <f>SUM(E77:I77)</f>
        <v>0</v>
      </c>
      <c r="E77" s="27"/>
      <c r="F77" s="27"/>
      <c r="G77" s="27"/>
      <c r="H77" s="29"/>
      <c r="I77" s="27">
        <v>0</v>
      </c>
      <c r="J77" s="90"/>
      <c r="K77" s="483"/>
      <c r="L77" s="469"/>
      <c r="M77" s="469"/>
    </row>
    <row r="78" spans="1:15" ht="17.25" customHeight="1">
      <c r="A78" s="481"/>
      <c r="B78" s="481"/>
      <c r="C78" s="207">
        <v>2019</v>
      </c>
      <c r="D78" s="27">
        <f>SUM(E78:I78)</f>
        <v>0</v>
      </c>
      <c r="E78" s="27"/>
      <c r="F78" s="27"/>
      <c r="G78" s="27"/>
      <c r="H78" s="29"/>
      <c r="I78" s="27">
        <v>0</v>
      </c>
      <c r="J78" s="90"/>
      <c r="K78" s="483"/>
      <c r="L78" s="469"/>
      <c r="M78" s="469"/>
      <c r="O78" t="s">
        <v>37</v>
      </c>
    </row>
    <row r="79" spans="1:13" ht="19.5" customHeight="1">
      <c r="A79" s="481"/>
      <c r="B79" s="481"/>
      <c r="C79" s="209">
        <v>2020</v>
      </c>
      <c r="D79" s="27">
        <f>SUM(E79:I79)</f>
        <v>0</v>
      </c>
      <c r="E79" s="27"/>
      <c r="F79" s="27"/>
      <c r="G79" s="27"/>
      <c r="H79" s="29"/>
      <c r="I79" s="27">
        <v>0</v>
      </c>
      <c r="J79" s="90"/>
      <c r="K79" s="483"/>
      <c r="L79" s="469"/>
      <c r="M79" s="469"/>
    </row>
    <row r="80" spans="1:13" ht="19.5" customHeight="1">
      <c r="A80" s="481"/>
      <c r="B80" s="481"/>
      <c r="C80" s="209">
        <v>2021</v>
      </c>
      <c r="D80" s="27">
        <v>0</v>
      </c>
      <c r="E80" s="27"/>
      <c r="F80" s="27"/>
      <c r="G80" s="27"/>
      <c r="H80" s="29"/>
      <c r="I80" s="27">
        <v>0</v>
      </c>
      <c r="J80" s="206"/>
      <c r="K80" s="483"/>
      <c r="L80" s="469"/>
      <c r="M80" s="469"/>
    </row>
    <row r="81" spans="1:13" ht="21" customHeight="1">
      <c r="A81" s="481"/>
      <c r="B81" s="481"/>
      <c r="C81" s="209">
        <v>2022</v>
      </c>
      <c r="D81" s="27">
        <f>I81</f>
        <v>0</v>
      </c>
      <c r="E81" s="27"/>
      <c r="F81" s="27"/>
      <c r="G81" s="27"/>
      <c r="H81" s="29"/>
      <c r="I81" s="27">
        <v>0</v>
      </c>
      <c r="J81" s="206"/>
      <c r="K81" s="483"/>
      <c r="L81" s="469"/>
      <c r="M81" s="469"/>
    </row>
    <row r="82" spans="1:13" ht="18" customHeight="1">
      <c r="A82" s="482"/>
      <c r="B82" s="482"/>
      <c r="C82" s="209">
        <v>2023</v>
      </c>
      <c r="D82" s="27">
        <f>I82</f>
        <v>0</v>
      </c>
      <c r="E82" s="27"/>
      <c r="F82" s="27"/>
      <c r="G82" s="27"/>
      <c r="H82" s="29"/>
      <c r="I82" s="27">
        <v>0</v>
      </c>
      <c r="J82" s="206"/>
      <c r="K82" s="484"/>
      <c r="L82" s="470"/>
      <c r="M82" s="469"/>
    </row>
    <row r="83" spans="1:13" ht="24.75" customHeight="1">
      <c r="A83" s="480" t="s">
        <v>135</v>
      </c>
      <c r="B83" s="480" t="s">
        <v>136</v>
      </c>
      <c r="C83" s="209">
        <v>2017</v>
      </c>
      <c r="D83" s="27">
        <f>I83</f>
        <v>0</v>
      </c>
      <c r="E83" s="27"/>
      <c r="F83" s="27"/>
      <c r="G83" s="27"/>
      <c r="H83" s="29"/>
      <c r="I83" s="27">
        <v>0</v>
      </c>
      <c r="J83" s="90"/>
      <c r="K83" s="474" t="s">
        <v>69</v>
      </c>
      <c r="L83" s="468"/>
      <c r="M83" s="469"/>
    </row>
    <row r="84" spans="1:13" ht="24" customHeight="1">
      <c r="A84" s="481"/>
      <c r="B84" s="481"/>
      <c r="C84" s="207">
        <v>2018</v>
      </c>
      <c r="D84" s="27">
        <f>SUM(E84:I84)</f>
        <v>0</v>
      </c>
      <c r="E84" s="27"/>
      <c r="F84" s="27"/>
      <c r="G84" s="27"/>
      <c r="H84" s="29"/>
      <c r="I84" s="27">
        <v>0</v>
      </c>
      <c r="J84" s="90"/>
      <c r="K84" s="483"/>
      <c r="L84" s="469"/>
      <c r="M84" s="469"/>
    </row>
    <row r="85" spans="1:14" ht="16.5" customHeight="1">
      <c r="A85" s="481"/>
      <c r="B85" s="481"/>
      <c r="C85" s="207">
        <v>2019</v>
      </c>
      <c r="D85" s="27">
        <f>SUM(E85:I85)</f>
        <v>0</v>
      </c>
      <c r="E85" s="27"/>
      <c r="F85" s="27"/>
      <c r="G85" s="27"/>
      <c r="H85" s="29"/>
      <c r="I85" s="27">
        <v>0</v>
      </c>
      <c r="J85" s="90"/>
      <c r="K85" s="483"/>
      <c r="L85" s="469"/>
      <c r="M85" s="469"/>
      <c r="N85" t="s">
        <v>37</v>
      </c>
    </row>
    <row r="86" spans="1:13" ht="18" customHeight="1">
      <c r="A86" s="481"/>
      <c r="B86" s="481"/>
      <c r="C86" s="209">
        <v>2020</v>
      </c>
      <c r="D86" s="27">
        <f>SUM(E86:I86)</f>
        <v>0</v>
      </c>
      <c r="E86" s="27"/>
      <c r="F86" s="27"/>
      <c r="G86" s="27"/>
      <c r="H86" s="29"/>
      <c r="I86" s="27">
        <v>0</v>
      </c>
      <c r="J86" s="90"/>
      <c r="K86" s="483"/>
      <c r="L86" s="469"/>
      <c r="M86" s="469"/>
    </row>
    <row r="87" spans="1:13" ht="26.25" customHeight="1">
      <c r="A87" s="481"/>
      <c r="B87" s="481"/>
      <c r="C87" s="209">
        <v>2021</v>
      </c>
      <c r="D87" s="27">
        <v>0</v>
      </c>
      <c r="E87" s="27"/>
      <c r="F87" s="27"/>
      <c r="G87" s="27"/>
      <c r="H87" s="29"/>
      <c r="I87" s="27">
        <v>0</v>
      </c>
      <c r="J87" s="206"/>
      <c r="K87" s="483"/>
      <c r="L87" s="469"/>
      <c r="M87" s="469"/>
    </row>
    <row r="88" spans="1:13" ht="21" customHeight="1">
      <c r="A88" s="481"/>
      <c r="B88" s="481"/>
      <c r="C88" s="209">
        <v>2022</v>
      </c>
      <c r="D88" s="27">
        <f>I88</f>
        <v>0</v>
      </c>
      <c r="E88" s="27"/>
      <c r="F88" s="27"/>
      <c r="G88" s="27"/>
      <c r="H88" s="29"/>
      <c r="I88" s="27">
        <v>0</v>
      </c>
      <c r="J88" s="206"/>
      <c r="K88" s="483"/>
      <c r="L88" s="469"/>
      <c r="M88" s="469"/>
    </row>
    <row r="89" spans="1:13" ht="18" customHeight="1">
      <c r="A89" s="482"/>
      <c r="B89" s="482"/>
      <c r="C89" s="209">
        <v>2023</v>
      </c>
      <c r="D89" s="27">
        <f>I89</f>
        <v>0</v>
      </c>
      <c r="E89" s="27"/>
      <c r="F89" s="27"/>
      <c r="G89" s="27"/>
      <c r="H89" s="29"/>
      <c r="I89" s="27">
        <v>0</v>
      </c>
      <c r="J89" s="206"/>
      <c r="K89" s="484"/>
      <c r="L89" s="470"/>
      <c r="M89" s="469"/>
    </row>
    <row r="90" spans="1:13" ht="18" customHeight="1">
      <c r="A90" s="480" t="s">
        <v>137</v>
      </c>
      <c r="B90" s="480" t="s">
        <v>138</v>
      </c>
      <c r="C90" s="209">
        <v>2017</v>
      </c>
      <c r="D90" s="27">
        <f>I90</f>
        <v>0</v>
      </c>
      <c r="E90" s="27"/>
      <c r="F90" s="27"/>
      <c r="G90" s="27"/>
      <c r="H90" s="29"/>
      <c r="I90" s="27">
        <v>0</v>
      </c>
      <c r="J90" s="90"/>
      <c r="K90" s="474" t="s">
        <v>69</v>
      </c>
      <c r="L90" s="468"/>
      <c r="M90" s="469"/>
    </row>
    <row r="91" spans="1:13" ht="21" customHeight="1">
      <c r="A91" s="481"/>
      <c r="B91" s="481"/>
      <c r="C91" s="207">
        <v>2018</v>
      </c>
      <c r="D91" s="27">
        <f>SUM(E91:I91)</f>
        <v>0</v>
      </c>
      <c r="E91" s="27"/>
      <c r="F91" s="27"/>
      <c r="G91" s="27"/>
      <c r="H91" s="29"/>
      <c r="I91" s="27">
        <v>0</v>
      </c>
      <c r="J91" s="90"/>
      <c r="K91" s="483"/>
      <c r="L91" s="469"/>
      <c r="M91" s="469"/>
    </row>
    <row r="92" spans="1:16" ht="18" customHeight="1">
      <c r="A92" s="481"/>
      <c r="B92" s="481"/>
      <c r="C92" s="207">
        <v>2019</v>
      </c>
      <c r="D92" s="27">
        <f>SUM(E92:I92)</f>
        <v>0</v>
      </c>
      <c r="E92" s="27"/>
      <c r="F92" s="27"/>
      <c r="G92" s="27"/>
      <c r="H92" s="29"/>
      <c r="I92" s="27">
        <v>0</v>
      </c>
      <c r="J92" s="90"/>
      <c r="K92" s="483"/>
      <c r="L92" s="469"/>
      <c r="M92" s="469"/>
      <c r="P92" t="s">
        <v>37</v>
      </c>
    </row>
    <row r="93" spans="1:13" ht="23.25" customHeight="1">
      <c r="A93" s="481"/>
      <c r="B93" s="481"/>
      <c r="C93" s="209">
        <v>2020</v>
      </c>
      <c r="D93" s="27">
        <f>SUM(E93:I93)</f>
        <v>0</v>
      </c>
      <c r="E93" s="27"/>
      <c r="F93" s="27"/>
      <c r="G93" s="27"/>
      <c r="H93" s="29"/>
      <c r="I93" s="27">
        <v>0</v>
      </c>
      <c r="J93" s="90"/>
      <c r="K93" s="483"/>
      <c r="L93" s="469"/>
      <c r="M93" s="470"/>
    </row>
    <row r="94" spans="1:13" ht="20.25" customHeight="1">
      <c r="A94" s="481"/>
      <c r="B94" s="481"/>
      <c r="C94" s="209">
        <v>2021</v>
      </c>
      <c r="D94" s="27">
        <v>0</v>
      </c>
      <c r="E94" s="27"/>
      <c r="F94" s="27"/>
      <c r="G94" s="27"/>
      <c r="H94" s="29"/>
      <c r="I94" s="27">
        <v>0</v>
      </c>
      <c r="J94" s="90"/>
      <c r="K94" s="483"/>
      <c r="L94" s="469"/>
      <c r="M94" s="208"/>
    </row>
    <row r="95" spans="1:13" ht="18" customHeight="1">
      <c r="A95" s="481"/>
      <c r="B95" s="481"/>
      <c r="C95" s="209">
        <v>2022</v>
      </c>
      <c r="D95" s="27">
        <f>I95</f>
        <v>0</v>
      </c>
      <c r="E95" s="27"/>
      <c r="F95" s="27"/>
      <c r="G95" s="27"/>
      <c r="H95" s="29"/>
      <c r="I95" s="27">
        <v>0</v>
      </c>
      <c r="J95" s="90"/>
      <c r="K95" s="483"/>
      <c r="L95" s="469"/>
      <c r="M95" s="208"/>
    </row>
    <row r="96" spans="1:13" ht="23.25" customHeight="1">
      <c r="A96" s="482"/>
      <c r="B96" s="482"/>
      <c r="C96" s="209">
        <v>2023</v>
      </c>
      <c r="D96" s="27">
        <f>I96</f>
        <v>0</v>
      </c>
      <c r="E96" s="27"/>
      <c r="F96" s="27"/>
      <c r="G96" s="27"/>
      <c r="H96" s="29"/>
      <c r="I96" s="27"/>
      <c r="J96" s="121"/>
      <c r="K96" s="483"/>
      <c r="L96" s="469"/>
      <c r="M96" s="208"/>
    </row>
    <row r="97" spans="1:13" ht="16.5" customHeight="1">
      <c r="A97" s="480"/>
      <c r="B97" s="471" t="s">
        <v>73</v>
      </c>
      <c r="C97" s="209">
        <v>2017</v>
      </c>
      <c r="D97" s="27">
        <f>I97</f>
        <v>13.1</v>
      </c>
      <c r="E97" s="27">
        <v>0</v>
      </c>
      <c r="F97" s="27"/>
      <c r="G97" s="27"/>
      <c r="H97" s="30">
        <v>0</v>
      </c>
      <c r="I97" s="27">
        <f>I18+I26+I41+I48+I55+I62+I69+I76+I83+I90</f>
        <v>13.1</v>
      </c>
      <c r="J97" s="200"/>
      <c r="K97" s="484"/>
      <c r="L97" s="470"/>
      <c r="M97" s="208"/>
    </row>
    <row r="98" spans="1:13" ht="15">
      <c r="A98" s="481"/>
      <c r="B98" s="472"/>
      <c r="C98" s="207">
        <v>2018</v>
      </c>
      <c r="D98" s="27">
        <f>SUM(E98:I98)</f>
        <v>7.25</v>
      </c>
      <c r="E98" s="27">
        <f>SUM(E19+E27)</f>
        <v>0</v>
      </c>
      <c r="F98" s="27"/>
      <c r="G98" s="27"/>
      <c r="H98" s="27">
        <f>SUM(H19+H27)</f>
        <v>0</v>
      </c>
      <c r="I98" s="27">
        <f>SUM(I19+I27+I42+I49+I56+I63+I70+I77+I84+I91)</f>
        <v>7.25</v>
      </c>
      <c r="J98" s="207"/>
      <c r="K98" s="474"/>
      <c r="L98" s="475"/>
      <c r="M98" s="464"/>
    </row>
    <row r="99" spans="1:13" ht="15">
      <c r="A99" s="481"/>
      <c r="B99" s="472"/>
      <c r="C99" s="207">
        <v>2019</v>
      </c>
      <c r="D99" s="27">
        <f>SUM(E99:I99)</f>
        <v>13.1</v>
      </c>
      <c r="E99" s="31">
        <f>SUM(E20+E28)</f>
        <v>0</v>
      </c>
      <c r="F99" s="31"/>
      <c r="G99" s="31"/>
      <c r="H99" s="31">
        <f>SUM(H20+H28)</f>
        <v>0</v>
      </c>
      <c r="I99" s="31">
        <f>SUM(I20+I28+I43+I50+I57+I64+I71+I78+I85+I92)</f>
        <v>13.1</v>
      </c>
      <c r="J99" s="207"/>
      <c r="K99" s="476"/>
      <c r="L99" s="477"/>
      <c r="M99" s="464"/>
    </row>
    <row r="100" spans="1:13" ht="15">
      <c r="A100" s="481"/>
      <c r="B100" s="472"/>
      <c r="C100" s="209">
        <v>2020</v>
      </c>
      <c r="D100" s="27">
        <f>SUM(E100:I100)</f>
        <v>10.807</v>
      </c>
      <c r="E100" s="27">
        <f>SUM(E21+E29)</f>
        <v>0</v>
      </c>
      <c r="F100" s="27"/>
      <c r="G100" s="27"/>
      <c r="H100" s="27">
        <f>SUM(H21+H29)</f>
        <v>0</v>
      </c>
      <c r="I100" s="219">
        <f>I58+I29</f>
        <v>10.807</v>
      </c>
      <c r="J100" s="207"/>
      <c r="K100" s="476"/>
      <c r="L100" s="477"/>
      <c r="M100" s="464"/>
    </row>
    <row r="101" spans="1:13" ht="15">
      <c r="A101" s="481"/>
      <c r="B101" s="472"/>
      <c r="C101" s="209">
        <v>2021</v>
      </c>
      <c r="D101" s="27">
        <f>I101</f>
        <v>1.5</v>
      </c>
      <c r="E101" s="217">
        <v>0</v>
      </c>
      <c r="F101" s="27"/>
      <c r="G101" s="27"/>
      <c r="H101" s="27">
        <v>0</v>
      </c>
      <c r="I101" s="27">
        <f>I30</f>
        <v>1.5</v>
      </c>
      <c r="J101" s="207"/>
      <c r="K101" s="476"/>
      <c r="L101" s="477"/>
      <c r="M101" s="464"/>
    </row>
    <row r="102" spans="1:13" ht="15">
      <c r="A102" s="481"/>
      <c r="B102" s="472"/>
      <c r="C102" s="209">
        <v>2022</v>
      </c>
      <c r="D102" s="27">
        <f>I102</f>
        <v>0</v>
      </c>
      <c r="E102" s="27">
        <v>0</v>
      </c>
      <c r="F102" s="27"/>
      <c r="G102" s="27"/>
      <c r="H102" s="27">
        <v>0</v>
      </c>
      <c r="I102" s="27">
        <f>I38+I23+I31</f>
        <v>0</v>
      </c>
      <c r="J102" s="207"/>
      <c r="K102" s="476"/>
      <c r="L102" s="477"/>
      <c r="M102" s="464"/>
    </row>
    <row r="103" spans="1:13" ht="15">
      <c r="A103" s="481"/>
      <c r="B103" s="472"/>
      <c r="C103" s="209">
        <v>2023</v>
      </c>
      <c r="D103" s="27">
        <f>I103</f>
        <v>0</v>
      </c>
      <c r="E103" s="27">
        <v>0</v>
      </c>
      <c r="F103" s="27"/>
      <c r="G103" s="27"/>
      <c r="H103" s="27">
        <v>0</v>
      </c>
      <c r="I103" s="27">
        <f>I24+I40+I32</f>
        <v>0</v>
      </c>
      <c r="J103" s="207"/>
      <c r="K103" s="476"/>
      <c r="L103" s="477"/>
      <c r="M103" s="464"/>
    </row>
    <row r="104" spans="1:13" ht="15">
      <c r="A104" s="482"/>
      <c r="B104" s="473"/>
      <c r="C104" s="207" t="s">
        <v>373</v>
      </c>
      <c r="D104" s="32">
        <f>I104</f>
        <v>45.757</v>
      </c>
      <c r="E104" s="32">
        <f>SUM(E98:E100)</f>
        <v>0</v>
      </c>
      <c r="F104" s="32"/>
      <c r="G104" s="32"/>
      <c r="H104" s="32">
        <f>SUM(H98:H100)</f>
        <v>0</v>
      </c>
      <c r="I104" s="32">
        <f>I102+I101+I100+I99+I98+I97+I103</f>
        <v>45.757</v>
      </c>
      <c r="J104" s="207"/>
      <c r="K104" s="478"/>
      <c r="L104" s="479"/>
      <c r="M104" s="464"/>
    </row>
    <row r="105" spans="1:13" ht="14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1:13" ht="14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1:13" ht="14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1:13" ht="14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1:13" ht="14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1:13" ht="14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1:13" ht="14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1:13" ht="14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 ht="14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ht="14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14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ht="14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1:13" ht="14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1:13" ht="14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1:13" ht="14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</row>
    <row r="120" spans="1:13" ht="14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1" spans="1:13" ht="14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13" ht="14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ht="14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1:13" ht="14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1:13" ht="14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1:13" ht="14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ht="14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1:13" ht="14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</row>
    <row r="129" spans="1:13" ht="14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1:13" ht="14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</row>
    <row r="131" spans="1:13" ht="14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</row>
    <row r="132" spans="1:13" ht="14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1:13" ht="14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1:13" ht="14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</row>
    <row r="135" spans="1:13" ht="14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1:13" ht="14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 ht="14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1:13" ht="14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1:13" ht="14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1:13" ht="14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</row>
    <row r="141" spans="1:13" ht="14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1:13" ht="14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</row>
    <row r="143" spans="1:13" ht="14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1:13" ht="14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1:13" ht="14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1:13" ht="14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1:13" ht="14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1:13" ht="14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1:13" ht="14.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3" ht="14.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1:13" ht="14.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1:13" ht="14.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</row>
    <row r="153" spans="1:13" ht="14.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1:13" ht="14.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  <row r="155" spans="1:13" ht="14.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</row>
    <row r="156" spans="1:13" ht="14.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1:13" ht="14.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1:13" ht="14.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</row>
    <row r="159" spans="1:13" ht="14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</row>
    <row r="160" spans="1:13" ht="14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1:13" ht="14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</row>
    <row r="162" spans="1:13" ht="14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1:13" ht="14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1:13" ht="14.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</row>
    <row r="165" spans="1:13" ht="14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ht="14.2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</row>
    <row r="167" spans="1:13" ht="14.2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</row>
    <row r="168" spans="1:13" ht="14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  <row r="169" spans="1:13" ht="14.2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</row>
    <row r="170" spans="1:13" ht="14.2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</row>
    <row r="171" spans="1:13" ht="14.2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</row>
    <row r="172" spans="1:13" ht="14.2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</row>
    <row r="173" spans="1:13" ht="14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</row>
    <row r="174" spans="1:13" ht="14.2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</row>
    <row r="175" spans="1:13" ht="14.2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</row>
    <row r="176" spans="1:13" ht="14.2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spans="1:13" ht="14.2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</row>
    <row r="178" spans="1:13" ht="14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</row>
    <row r="179" spans="1:13" ht="14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</row>
    <row r="180" spans="1:13" ht="14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</row>
    <row r="181" spans="1:13" ht="14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  <row r="182" spans="1:13" ht="14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</row>
    <row r="183" spans="1:13" ht="14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4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</row>
    <row r="185" spans="1:13" ht="14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</row>
    <row r="186" spans="1:13" ht="14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</row>
    <row r="187" spans="1:13" ht="14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</row>
    <row r="188" spans="1:13" ht="14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1:13" ht="14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</row>
    <row r="190" spans="1:13" ht="14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</row>
    <row r="191" spans="1:13" ht="14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</row>
    <row r="192" spans="1:13" ht="14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</row>
    <row r="193" spans="1:13" ht="14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</row>
    <row r="194" spans="1:13" ht="14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</row>
    <row r="195" spans="1:13" ht="14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</row>
    <row r="196" spans="1:13" ht="14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</row>
    <row r="197" spans="1:13" ht="14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</row>
    <row r="198" spans="1:13" ht="14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</row>
    <row r="199" spans="1:13" ht="14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</row>
    <row r="200" spans="1:13" ht="14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</row>
    <row r="201" spans="1:13" ht="14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</row>
    <row r="202" spans="1:13" ht="14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</row>
    <row r="203" spans="1:13" ht="14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</row>
    <row r="204" spans="1:13" ht="14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</row>
    <row r="205" spans="1:13" ht="14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</row>
    <row r="206" spans="1:13" ht="14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</row>
    <row r="207" spans="1:13" ht="14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</row>
    <row r="208" spans="1:13" ht="14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</row>
    <row r="209" spans="1:13" ht="14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</row>
    <row r="210" spans="1:13" ht="14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</row>
    <row r="211" spans="1:13" ht="14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</row>
    <row r="212" spans="1:13" ht="14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</row>
    <row r="213" spans="1:13" ht="14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</row>
    <row r="214" spans="1:13" ht="14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</row>
    <row r="215" spans="1:13" ht="14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</row>
    <row r="216" spans="1:13" ht="14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</row>
    <row r="217" spans="1:13" ht="14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</row>
    <row r="218" spans="1:13" ht="14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</row>
    <row r="219" spans="1:13" ht="14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</row>
    <row r="220" spans="1:13" ht="14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</row>
    <row r="221" spans="1:13" ht="14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</row>
    <row r="222" spans="1:13" ht="14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</row>
    <row r="223" spans="1:13" ht="14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</row>
    <row r="224" spans="1:13" ht="14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</row>
    <row r="225" spans="1:13" ht="14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</row>
    <row r="226" spans="1:13" ht="14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</row>
    <row r="227" spans="1:13" ht="14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</row>
    <row r="228" spans="1:13" ht="14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</row>
    <row r="229" spans="1:13" ht="14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1:13" ht="14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</row>
    <row r="231" spans="1:13" ht="14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</row>
    <row r="232" spans="1:13" ht="14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</row>
    <row r="233" spans="1:13" ht="14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</row>
    <row r="234" spans="1:13" ht="14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</row>
    <row r="235" spans="1:13" ht="14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</row>
    <row r="236" spans="1:13" ht="14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</row>
    <row r="237" spans="1:13" ht="14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</row>
    <row r="238" spans="1:13" ht="14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</row>
    <row r="239" spans="1:13" ht="14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</row>
    <row r="240" spans="1:13" ht="14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</row>
    <row r="241" spans="1:13" ht="14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</row>
    <row r="242" spans="1:13" ht="14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</row>
    <row r="243" spans="1:13" ht="14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</row>
    <row r="244" spans="1:13" ht="14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</row>
    <row r="245" spans="1:13" ht="14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</row>
    <row r="246" spans="1:13" ht="14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</row>
    <row r="247" spans="1:13" ht="14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</row>
    <row r="248" spans="1:13" ht="14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</row>
    <row r="249" spans="1:13" ht="14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</row>
    <row r="250" spans="1:13" ht="14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</row>
    <row r="251" spans="1:13" ht="14.2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</row>
    <row r="252" spans="1:13" ht="14.2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</row>
    <row r="253" spans="1:13" ht="14.2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</row>
    <row r="254" spans="1:13" ht="14.2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</row>
    <row r="255" spans="1:13" ht="14.2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</row>
    <row r="256" spans="1:13" ht="14.2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</row>
    <row r="257" spans="1:13" ht="14.2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</row>
    <row r="258" spans="1:13" ht="14.2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</row>
    <row r="259" spans="1:13" ht="14.2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</row>
    <row r="260" spans="1:13" ht="14.2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</row>
    <row r="261" spans="1:13" ht="14.2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</row>
    <row r="262" spans="1:13" ht="14.2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</row>
    <row r="263" spans="1:13" ht="14.2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</row>
    <row r="264" spans="1:13" ht="14.2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</row>
    <row r="265" spans="1:13" ht="14.2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</row>
    <row r="266" spans="1:13" ht="14.2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</row>
    <row r="267" spans="1:13" ht="14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</row>
    <row r="268" spans="1:13" ht="14.2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</row>
    <row r="269" spans="1:13" ht="14.2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</row>
    <row r="270" spans="1:13" ht="14.2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</row>
    <row r="271" spans="1:13" ht="14.2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</row>
    <row r="272" spans="1:13" ht="14.2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</row>
    <row r="273" spans="1:13" ht="14.2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</row>
    <row r="274" spans="1:13" ht="14.2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1:13" ht="14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</row>
    <row r="276" spans="1:13" ht="14.2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</row>
    <row r="277" spans="1:13" ht="14.2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</row>
    <row r="278" spans="1:13" ht="14.2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</row>
    <row r="279" spans="1:13" ht="14.2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</row>
    <row r="280" spans="1:13" ht="14.2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</row>
    <row r="281" spans="1:13" ht="14.2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</row>
    <row r="282" spans="1:13" ht="14.2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</row>
    <row r="283" spans="1:13" ht="14.2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</row>
    <row r="284" spans="1:13" ht="14.2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</row>
    <row r="285" spans="1:13" ht="14.2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</row>
    <row r="286" spans="1:13" ht="14.2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</row>
    <row r="287" spans="1:13" ht="14.2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</row>
    <row r="288" spans="1:13" ht="14.2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</row>
    <row r="289" spans="1:13" ht="14.2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</row>
    <row r="290" spans="1:13" ht="14.2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</row>
    <row r="291" spans="1:13" ht="14.2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</row>
    <row r="292" spans="1:13" ht="14.2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</row>
    <row r="293" spans="1:13" ht="14.2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</row>
    <row r="294" spans="1:13" ht="14.2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</row>
    <row r="295" spans="1:13" ht="14.2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</row>
    <row r="296" spans="1:13" ht="14.2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</row>
    <row r="297" spans="1:13" ht="14.2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</row>
    <row r="298" spans="1:13" ht="14.2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</row>
    <row r="299" spans="1:13" ht="14.2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</row>
    <row r="300" spans="1:13" ht="14.2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</row>
    <row r="301" spans="1:13" ht="14.2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</row>
    <row r="302" spans="1:13" ht="14.2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</row>
    <row r="303" spans="1:13" ht="14.2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</row>
  </sheetData>
  <sheetProtection/>
  <mergeCells count="64">
    <mergeCell ref="K76:L82"/>
    <mergeCell ref="A83:A89"/>
    <mergeCell ref="B83:B89"/>
    <mergeCell ref="K83:L89"/>
    <mergeCell ref="A90:A96"/>
    <mergeCell ref="B90:B96"/>
    <mergeCell ref="K90:L97"/>
    <mergeCell ref="A76:A82"/>
    <mergeCell ref="B76:B82"/>
    <mergeCell ref="A97:A104"/>
    <mergeCell ref="A62:A68"/>
    <mergeCell ref="B62:B68"/>
    <mergeCell ref="K62:L68"/>
    <mergeCell ref="A69:A75"/>
    <mergeCell ref="B69:B75"/>
    <mergeCell ref="K69:L75"/>
    <mergeCell ref="B18:B24"/>
    <mergeCell ref="A26:A32"/>
    <mergeCell ref="A48:A54"/>
    <mergeCell ref="B48:B54"/>
    <mergeCell ref="K48:L54"/>
    <mergeCell ref="A55:A61"/>
    <mergeCell ref="B55:B61"/>
    <mergeCell ref="K55:L61"/>
    <mergeCell ref="K3:M3"/>
    <mergeCell ref="K15:L15"/>
    <mergeCell ref="A17:M17"/>
    <mergeCell ref="D9:D14"/>
    <mergeCell ref="K41:L47"/>
    <mergeCell ref="A16:M16"/>
    <mergeCell ref="K18:L24"/>
    <mergeCell ref="M18:M24"/>
    <mergeCell ref="K26:L32"/>
    <mergeCell ref="M26:M32"/>
    <mergeCell ref="E9:I10"/>
    <mergeCell ref="J9:J14"/>
    <mergeCell ref="B26:B32"/>
    <mergeCell ref="A41:A47"/>
    <mergeCell ref="B41:B47"/>
    <mergeCell ref="K4:M4"/>
    <mergeCell ref="A34:A40"/>
    <mergeCell ref="B34:B40"/>
    <mergeCell ref="K34:L40"/>
    <mergeCell ref="A18:A24"/>
    <mergeCell ref="K9:L14"/>
    <mergeCell ref="A9:A14"/>
    <mergeCell ref="M9:M14"/>
    <mergeCell ref="E11:E14"/>
    <mergeCell ref="G13:H13"/>
    <mergeCell ref="B97:B104"/>
    <mergeCell ref="K98:L104"/>
    <mergeCell ref="F12:H12"/>
    <mergeCell ref="B9:B14"/>
    <mergeCell ref="F13:F14"/>
    <mergeCell ref="B2:M2"/>
    <mergeCell ref="L5:M5"/>
    <mergeCell ref="A8:M8"/>
    <mergeCell ref="F11:I11"/>
    <mergeCell ref="C9:C14"/>
    <mergeCell ref="M98:M104"/>
    <mergeCell ref="A25:M25"/>
    <mergeCell ref="A33:M33"/>
    <mergeCell ref="M34:M93"/>
    <mergeCell ref="I12:I1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22">
      <selection activeCell="B21" sqref="B21:B24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9.0039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ht="14.25">
      <c r="A1" s="520" t="s">
        <v>300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</row>
    <row r="2" spans="1:12" ht="15">
      <c r="A2" s="516" t="s">
        <v>300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2" ht="32.25" customHeight="1">
      <c r="A3" s="19"/>
      <c r="B3" s="19"/>
      <c r="C3" s="19"/>
      <c r="D3" s="19"/>
      <c r="E3" s="19"/>
      <c r="F3" s="19"/>
      <c r="G3" s="19"/>
      <c r="H3" s="19"/>
      <c r="I3" s="19"/>
      <c r="J3" s="516" t="s">
        <v>307</v>
      </c>
      <c r="K3" s="516"/>
      <c r="L3" s="516"/>
    </row>
    <row r="4" spans="1:12" ht="32.25" customHeight="1">
      <c r="A4" s="19"/>
      <c r="B4" s="19"/>
      <c r="C4" s="19"/>
      <c r="D4" s="19"/>
      <c r="E4" s="19"/>
      <c r="F4" s="19"/>
      <c r="G4" s="19"/>
      <c r="H4" s="19"/>
      <c r="I4" s="19"/>
      <c r="J4" s="105"/>
      <c r="K4" s="105"/>
      <c r="L4" s="105"/>
    </row>
    <row r="5" spans="1:12" ht="32.25" customHeight="1">
      <c r="A5" s="19"/>
      <c r="B5" s="19"/>
      <c r="C5" s="19"/>
      <c r="D5" s="19"/>
      <c r="E5" s="19"/>
      <c r="F5" s="19"/>
      <c r="G5" s="19"/>
      <c r="H5" s="19"/>
      <c r="I5" s="19"/>
      <c r="J5" s="105"/>
      <c r="K5" s="105"/>
      <c r="L5" s="105"/>
    </row>
    <row r="6" spans="1:14" ht="15" customHeight="1">
      <c r="A6" s="521" t="s">
        <v>350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</row>
    <row r="7" ht="31.5" customHeight="1" thickBot="1"/>
    <row r="8" spans="1:12" ht="15.75" thickBot="1">
      <c r="A8" s="510" t="s">
        <v>0</v>
      </c>
      <c r="B8" s="522" t="s">
        <v>1</v>
      </c>
      <c r="C8" s="512" t="s">
        <v>2</v>
      </c>
      <c r="D8" s="498" t="s">
        <v>346</v>
      </c>
      <c r="E8" s="514" t="s">
        <v>5</v>
      </c>
      <c r="F8" s="514"/>
      <c r="G8" s="514"/>
      <c r="H8" s="514"/>
      <c r="I8" s="498"/>
      <c r="J8" s="498" t="s">
        <v>23</v>
      </c>
      <c r="K8" s="498" t="s">
        <v>347</v>
      </c>
      <c r="L8" s="498" t="s">
        <v>348</v>
      </c>
    </row>
    <row r="9" spans="1:12" ht="15.75" customHeight="1" thickBot="1">
      <c r="A9" s="510"/>
      <c r="B9" s="523"/>
      <c r="C9" s="512"/>
      <c r="D9" s="513"/>
      <c r="E9" s="499" t="s">
        <v>22</v>
      </c>
      <c r="F9" s="499" t="s">
        <v>351</v>
      </c>
      <c r="G9" s="499"/>
      <c r="H9" s="499"/>
      <c r="I9" s="504" t="s">
        <v>25</v>
      </c>
      <c r="J9" s="498"/>
      <c r="K9" s="498"/>
      <c r="L9" s="498"/>
    </row>
    <row r="10" spans="1:12" ht="15.75" customHeight="1" thickBot="1">
      <c r="A10" s="510"/>
      <c r="B10" s="524"/>
      <c r="C10" s="512"/>
      <c r="D10" s="513"/>
      <c r="E10" s="499"/>
      <c r="F10" s="500" t="s">
        <v>204</v>
      </c>
      <c r="G10" s="500"/>
      <c r="H10" s="500"/>
      <c r="I10" s="505"/>
      <c r="J10" s="498"/>
      <c r="K10" s="498"/>
      <c r="L10" s="498"/>
    </row>
    <row r="11" spans="1:12" ht="15.75" customHeight="1" thickBot="1">
      <c r="A11" s="510"/>
      <c r="B11" s="524"/>
      <c r="C11" s="512"/>
      <c r="D11" s="513"/>
      <c r="E11" s="499"/>
      <c r="F11" s="499" t="s">
        <v>199</v>
      </c>
      <c r="G11" s="499" t="s">
        <v>200</v>
      </c>
      <c r="H11" s="499"/>
      <c r="I11" s="505"/>
      <c r="J11" s="498"/>
      <c r="K11" s="498"/>
      <c r="L11" s="498"/>
    </row>
    <row r="12" spans="1:12" ht="84" customHeight="1" thickBot="1">
      <c r="A12" s="510"/>
      <c r="B12" s="525"/>
      <c r="C12" s="512"/>
      <c r="D12" s="513"/>
      <c r="E12" s="499"/>
      <c r="F12" s="499"/>
      <c r="G12" s="108" t="s">
        <v>201</v>
      </c>
      <c r="H12" s="108" t="s">
        <v>352</v>
      </c>
      <c r="I12" s="506"/>
      <c r="J12" s="498"/>
      <c r="K12" s="498"/>
      <c r="L12" s="498"/>
    </row>
    <row r="13" spans="1:12" ht="15.75" thickBot="1">
      <c r="A13" s="107">
        <v>1</v>
      </c>
      <c r="B13" s="106">
        <v>2</v>
      </c>
      <c r="C13" s="106">
        <v>3</v>
      </c>
      <c r="D13" s="106">
        <v>4</v>
      </c>
      <c r="E13" s="106">
        <v>5</v>
      </c>
      <c r="F13" s="106"/>
      <c r="G13" s="106">
        <v>6</v>
      </c>
      <c r="H13" s="106"/>
      <c r="I13" s="106">
        <v>7</v>
      </c>
      <c r="J13" s="106">
        <v>8</v>
      </c>
      <c r="K13" s="106">
        <v>9</v>
      </c>
      <c r="L13" s="106">
        <v>10</v>
      </c>
    </row>
    <row r="14" spans="1:12" ht="37.5" customHeight="1" thickBot="1">
      <c r="A14" s="510" t="s">
        <v>364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2"/>
    </row>
    <row r="15" spans="1:12" ht="84" customHeight="1">
      <c r="A15" s="495" t="s">
        <v>349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7"/>
    </row>
    <row r="16" spans="1:12" ht="84.75" customHeight="1">
      <c r="A16" s="507" t="s">
        <v>365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9"/>
    </row>
    <row r="17" spans="1:12" ht="28.5" customHeight="1">
      <c r="A17" s="489" t="s">
        <v>12</v>
      </c>
      <c r="B17" s="501" t="s">
        <v>363</v>
      </c>
      <c r="C17" s="108">
        <v>2020</v>
      </c>
      <c r="D17" s="114">
        <f>I17</f>
        <v>6.14</v>
      </c>
      <c r="E17" s="218"/>
      <c r="F17" s="218"/>
      <c r="G17" s="218"/>
      <c r="H17" s="218"/>
      <c r="I17" s="114">
        <v>6.14</v>
      </c>
      <c r="J17" s="109"/>
      <c r="K17" s="532" t="s">
        <v>30</v>
      </c>
      <c r="L17" s="517" t="s">
        <v>359</v>
      </c>
    </row>
    <row r="18" spans="1:12" ht="15.75" customHeight="1">
      <c r="A18" s="490"/>
      <c r="B18" s="502"/>
      <c r="C18" s="108">
        <v>2021</v>
      </c>
      <c r="D18" s="114">
        <f aca="true" t="shared" si="0" ref="D18:D39">I18</f>
        <v>50</v>
      </c>
      <c r="E18" s="218"/>
      <c r="F18" s="218"/>
      <c r="G18" s="218"/>
      <c r="H18" s="218"/>
      <c r="I18" s="114">
        <v>50</v>
      </c>
      <c r="J18" s="109"/>
      <c r="K18" s="533"/>
      <c r="L18" s="518"/>
    </row>
    <row r="19" spans="1:12" ht="21" customHeight="1">
      <c r="A19" s="490"/>
      <c r="B19" s="502"/>
      <c r="C19" s="118">
        <v>2022</v>
      </c>
      <c r="D19" s="114">
        <f t="shared" si="0"/>
        <v>0</v>
      </c>
      <c r="E19" s="113"/>
      <c r="F19" s="113"/>
      <c r="G19" s="113"/>
      <c r="H19" s="113"/>
      <c r="I19" s="114">
        <v>0</v>
      </c>
      <c r="J19" s="119"/>
      <c r="K19" s="119"/>
      <c r="L19" s="518"/>
    </row>
    <row r="20" spans="1:12" ht="21" customHeight="1">
      <c r="A20" s="491"/>
      <c r="B20" s="503"/>
      <c r="C20" s="118">
        <v>2023</v>
      </c>
      <c r="D20" s="114">
        <f>I20</f>
        <v>0</v>
      </c>
      <c r="E20" s="113"/>
      <c r="F20" s="113"/>
      <c r="G20" s="113"/>
      <c r="H20" s="113"/>
      <c r="I20" s="114">
        <v>0</v>
      </c>
      <c r="J20" s="119"/>
      <c r="K20" s="119"/>
      <c r="L20" s="518"/>
    </row>
    <row r="21" spans="1:12" ht="21" customHeight="1">
      <c r="A21" s="492" t="s">
        <v>14</v>
      </c>
      <c r="B21" s="501" t="s">
        <v>353</v>
      </c>
      <c r="C21" s="108">
        <v>2020</v>
      </c>
      <c r="D21" s="114">
        <f t="shared" si="0"/>
        <v>0</v>
      </c>
      <c r="E21" s="113"/>
      <c r="F21" s="113"/>
      <c r="G21" s="113"/>
      <c r="H21" s="113"/>
      <c r="I21" s="114">
        <v>0</v>
      </c>
      <c r="J21" s="119"/>
      <c r="K21" s="119"/>
      <c r="L21" s="518"/>
    </row>
    <row r="22" spans="1:12" ht="19.5" customHeight="1">
      <c r="A22" s="493"/>
      <c r="B22" s="502"/>
      <c r="C22" s="108">
        <v>2021</v>
      </c>
      <c r="D22" s="114">
        <f t="shared" si="0"/>
        <v>0</v>
      </c>
      <c r="E22" s="113"/>
      <c r="F22" s="113"/>
      <c r="G22" s="113"/>
      <c r="H22" s="113"/>
      <c r="I22" s="114">
        <v>0</v>
      </c>
      <c r="J22" s="119"/>
      <c r="K22" s="119"/>
      <c r="L22" s="518"/>
    </row>
    <row r="23" spans="1:12" ht="21" customHeight="1">
      <c r="A23" s="493"/>
      <c r="B23" s="502"/>
      <c r="C23" s="118">
        <v>2022</v>
      </c>
      <c r="D23" s="114">
        <f t="shared" si="0"/>
        <v>0</v>
      </c>
      <c r="E23" s="113"/>
      <c r="F23" s="113"/>
      <c r="G23" s="113"/>
      <c r="H23" s="113"/>
      <c r="I23" s="114">
        <v>0</v>
      </c>
      <c r="J23" s="119"/>
      <c r="K23" s="119"/>
      <c r="L23" s="518"/>
    </row>
    <row r="24" spans="1:12" ht="21" customHeight="1">
      <c r="A24" s="494"/>
      <c r="B24" s="503"/>
      <c r="C24" s="118">
        <v>2023</v>
      </c>
      <c r="D24" s="114">
        <f>I24</f>
        <v>0</v>
      </c>
      <c r="E24" s="113"/>
      <c r="F24" s="113"/>
      <c r="G24" s="113"/>
      <c r="H24" s="113"/>
      <c r="I24" s="114"/>
      <c r="J24" s="119"/>
      <c r="K24" s="119"/>
      <c r="L24" s="518"/>
    </row>
    <row r="25" spans="1:12" ht="21" customHeight="1">
      <c r="A25" s="492" t="s">
        <v>16</v>
      </c>
      <c r="B25" s="534" t="s">
        <v>354</v>
      </c>
      <c r="C25" s="108">
        <v>2020</v>
      </c>
      <c r="D25" s="114">
        <f t="shared" si="0"/>
        <v>0</v>
      </c>
      <c r="E25" s="113"/>
      <c r="F25" s="113"/>
      <c r="G25" s="113"/>
      <c r="H25" s="113"/>
      <c r="I25" s="114">
        <v>0</v>
      </c>
      <c r="J25" s="119"/>
      <c r="K25" s="119"/>
      <c r="L25" s="518"/>
    </row>
    <row r="26" spans="1:12" ht="19.5" customHeight="1">
      <c r="A26" s="493"/>
      <c r="B26" s="535"/>
      <c r="C26" s="108">
        <v>2021</v>
      </c>
      <c r="D26" s="114">
        <f t="shared" si="0"/>
        <v>0</v>
      </c>
      <c r="E26" s="113"/>
      <c r="F26" s="113"/>
      <c r="G26" s="113"/>
      <c r="H26" s="113"/>
      <c r="I26" s="114">
        <v>0</v>
      </c>
      <c r="J26" s="119"/>
      <c r="K26" s="119"/>
      <c r="L26" s="518"/>
    </row>
    <row r="27" spans="1:12" ht="24" customHeight="1">
      <c r="A27" s="493"/>
      <c r="B27" s="535"/>
      <c r="C27" s="118">
        <v>2022</v>
      </c>
      <c r="D27" s="114">
        <f t="shared" si="0"/>
        <v>0</v>
      </c>
      <c r="E27" s="113"/>
      <c r="F27" s="113"/>
      <c r="G27" s="113"/>
      <c r="H27" s="113"/>
      <c r="I27" s="114">
        <v>0</v>
      </c>
      <c r="J27" s="119"/>
      <c r="K27" s="119"/>
      <c r="L27" s="518"/>
    </row>
    <row r="28" spans="1:12" ht="24" customHeight="1">
      <c r="A28" s="494"/>
      <c r="B28" s="536"/>
      <c r="C28" s="118">
        <v>2023</v>
      </c>
      <c r="D28" s="114">
        <f>I28</f>
        <v>0</v>
      </c>
      <c r="E28" s="113"/>
      <c r="F28" s="113"/>
      <c r="G28" s="113"/>
      <c r="H28" s="113"/>
      <c r="I28" s="114"/>
      <c r="J28" s="119"/>
      <c r="K28" s="119"/>
      <c r="L28" s="518"/>
    </row>
    <row r="29" spans="1:12" ht="24" customHeight="1">
      <c r="A29" s="492" t="s">
        <v>99</v>
      </c>
      <c r="B29" s="501" t="s">
        <v>355</v>
      </c>
      <c r="C29" s="108">
        <v>2020</v>
      </c>
      <c r="D29" s="114">
        <f t="shared" si="0"/>
        <v>0</v>
      </c>
      <c r="E29" s="113"/>
      <c r="F29" s="113"/>
      <c r="G29" s="113"/>
      <c r="H29" s="113"/>
      <c r="I29" s="114">
        <v>0</v>
      </c>
      <c r="J29" s="119"/>
      <c r="K29" s="119"/>
      <c r="L29" s="518"/>
    </row>
    <row r="30" spans="1:12" ht="21.75" customHeight="1">
      <c r="A30" s="493"/>
      <c r="B30" s="502"/>
      <c r="C30" s="108">
        <v>2021</v>
      </c>
      <c r="D30" s="114">
        <f t="shared" si="0"/>
        <v>0</v>
      </c>
      <c r="E30" s="113"/>
      <c r="F30" s="113"/>
      <c r="G30" s="113"/>
      <c r="H30" s="113"/>
      <c r="I30" s="114">
        <v>0</v>
      </c>
      <c r="J30" s="119"/>
      <c r="K30" s="119"/>
      <c r="L30" s="518"/>
    </row>
    <row r="31" spans="1:12" ht="25.5" customHeight="1">
      <c r="A31" s="493"/>
      <c r="B31" s="502"/>
      <c r="C31" s="118">
        <v>2022</v>
      </c>
      <c r="D31" s="114">
        <f t="shared" si="0"/>
        <v>0</v>
      </c>
      <c r="E31" s="113"/>
      <c r="F31" s="113"/>
      <c r="G31" s="113"/>
      <c r="H31" s="113"/>
      <c r="I31" s="114">
        <v>0</v>
      </c>
      <c r="J31" s="119"/>
      <c r="K31" s="119"/>
      <c r="L31" s="518"/>
    </row>
    <row r="32" spans="1:12" ht="25.5" customHeight="1">
      <c r="A32" s="494"/>
      <c r="B32" s="503"/>
      <c r="C32" s="118">
        <v>2023</v>
      </c>
      <c r="D32" s="114">
        <f>I32</f>
        <v>0</v>
      </c>
      <c r="E32" s="113"/>
      <c r="F32" s="113"/>
      <c r="G32" s="113"/>
      <c r="H32" s="113"/>
      <c r="I32" s="114">
        <v>0</v>
      </c>
      <c r="J32" s="119"/>
      <c r="K32" s="119"/>
      <c r="L32" s="518"/>
    </row>
    <row r="33" spans="1:12" ht="25.5" customHeight="1">
      <c r="A33" s="492" t="s">
        <v>100</v>
      </c>
      <c r="B33" s="534" t="s">
        <v>356</v>
      </c>
      <c r="C33" s="108">
        <v>2020</v>
      </c>
      <c r="D33" s="114">
        <f t="shared" si="0"/>
        <v>0</v>
      </c>
      <c r="E33" s="113"/>
      <c r="F33" s="113"/>
      <c r="G33" s="113"/>
      <c r="H33" s="113"/>
      <c r="I33" s="114">
        <v>0</v>
      </c>
      <c r="J33" s="119"/>
      <c r="K33" s="119"/>
      <c r="L33" s="518"/>
    </row>
    <row r="34" spans="1:12" ht="25.5" customHeight="1">
      <c r="A34" s="493"/>
      <c r="B34" s="535"/>
      <c r="C34" s="108">
        <v>2021</v>
      </c>
      <c r="D34" s="114">
        <f t="shared" si="0"/>
        <v>0</v>
      </c>
      <c r="E34" s="113"/>
      <c r="F34" s="113"/>
      <c r="G34" s="113"/>
      <c r="H34" s="113"/>
      <c r="I34" s="114">
        <v>0</v>
      </c>
      <c r="J34" s="119"/>
      <c r="K34" s="119"/>
      <c r="L34" s="518"/>
    </row>
    <row r="35" spans="1:12" ht="24" customHeight="1">
      <c r="A35" s="493"/>
      <c r="B35" s="535"/>
      <c r="C35" s="118">
        <v>2020</v>
      </c>
      <c r="D35" s="114">
        <f t="shared" si="0"/>
        <v>0</v>
      </c>
      <c r="E35" s="113"/>
      <c r="F35" s="113"/>
      <c r="G35" s="113"/>
      <c r="H35" s="113"/>
      <c r="I35" s="114">
        <v>0</v>
      </c>
      <c r="J35" s="119"/>
      <c r="K35" s="119"/>
      <c r="L35" s="518"/>
    </row>
    <row r="36" spans="1:12" ht="24" customHeight="1">
      <c r="A36" s="494"/>
      <c r="B36" s="536"/>
      <c r="C36" s="120">
        <v>2023</v>
      </c>
      <c r="D36" s="114">
        <f>I36</f>
        <v>0</v>
      </c>
      <c r="E36" s="113"/>
      <c r="F36" s="113"/>
      <c r="G36" s="113"/>
      <c r="H36" s="113"/>
      <c r="I36" s="114">
        <v>0</v>
      </c>
      <c r="J36" s="119"/>
      <c r="K36" s="119"/>
      <c r="L36" s="518"/>
    </row>
    <row r="37" spans="1:12" ht="24" customHeight="1">
      <c r="A37" s="492" t="s">
        <v>101</v>
      </c>
      <c r="B37" s="501" t="s">
        <v>357</v>
      </c>
      <c r="C37" s="108">
        <v>2020</v>
      </c>
      <c r="D37" s="114">
        <f t="shared" si="0"/>
        <v>0</v>
      </c>
      <c r="E37" s="113"/>
      <c r="F37" s="113"/>
      <c r="G37" s="113"/>
      <c r="H37" s="113"/>
      <c r="I37" s="114">
        <v>0</v>
      </c>
      <c r="J37" s="119"/>
      <c r="K37" s="119"/>
      <c r="L37" s="518"/>
    </row>
    <row r="38" spans="1:12" ht="24" customHeight="1">
      <c r="A38" s="493"/>
      <c r="B38" s="502"/>
      <c r="C38" s="108">
        <v>2021</v>
      </c>
      <c r="D38" s="114">
        <f t="shared" si="0"/>
        <v>0</v>
      </c>
      <c r="E38" s="113"/>
      <c r="F38" s="113"/>
      <c r="G38" s="113"/>
      <c r="H38" s="113"/>
      <c r="I38" s="114">
        <v>0</v>
      </c>
      <c r="J38" s="119"/>
      <c r="K38" s="119"/>
      <c r="L38" s="518"/>
    </row>
    <row r="39" spans="1:12" ht="21" customHeight="1">
      <c r="A39" s="493"/>
      <c r="B39" s="502"/>
      <c r="C39" s="118">
        <v>2022</v>
      </c>
      <c r="D39" s="114">
        <f t="shared" si="0"/>
        <v>0</v>
      </c>
      <c r="E39" s="113"/>
      <c r="F39" s="113"/>
      <c r="G39" s="113"/>
      <c r="H39" s="113"/>
      <c r="I39" s="114">
        <v>0</v>
      </c>
      <c r="J39" s="119"/>
      <c r="K39" s="119"/>
      <c r="L39" s="518"/>
    </row>
    <row r="40" spans="1:12" ht="21" customHeight="1">
      <c r="A40" s="494"/>
      <c r="B40" s="503"/>
      <c r="C40" s="118">
        <v>2023</v>
      </c>
      <c r="D40" s="114">
        <f aca="true" t="shared" si="1" ref="D40:D45">I40</f>
        <v>0</v>
      </c>
      <c r="E40" s="113"/>
      <c r="F40" s="113"/>
      <c r="G40" s="113"/>
      <c r="H40" s="113"/>
      <c r="I40" s="114">
        <v>0</v>
      </c>
      <c r="J40" s="119"/>
      <c r="K40" s="119"/>
      <c r="L40" s="518"/>
    </row>
    <row r="41" spans="1:12" ht="21" customHeight="1">
      <c r="A41" s="526" t="s">
        <v>379</v>
      </c>
      <c r="B41" s="527"/>
      <c r="C41" s="108">
        <v>2020</v>
      </c>
      <c r="D41" s="114">
        <f t="shared" si="1"/>
        <v>6.14</v>
      </c>
      <c r="E41" s="113"/>
      <c r="F41" s="113"/>
      <c r="G41" s="113"/>
      <c r="H41" s="113"/>
      <c r="I41" s="114">
        <f>I17</f>
        <v>6.14</v>
      </c>
      <c r="J41" s="119"/>
      <c r="K41" s="119"/>
      <c r="L41" s="518"/>
    </row>
    <row r="42" spans="1:12" ht="21" customHeight="1">
      <c r="A42" s="528"/>
      <c r="B42" s="529"/>
      <c r="C42" s="108">
        <v>2021</v>
      </c>
      <c r="D42" s="114">
        <f t="shared" si="1"/>
        <v>50</v>
      </c>
      <c r="E42" s="113"/>
      <c r="F42" s="113"/>
      <c r="G42" s="113"/>
      <c r="H42" s="113"/>
      <c r="I42" s="114">
        <f>I18</f>
        <v>50</v>
      </c>
      <c r="J42" s="119"/>
      <c r="K42" s="119"/>
      <c r="L42" s="518"/>
    </row>
    <row r="43" spans="1:12" ht="21" customHeight="1">
      <c r="A43" s="528"/>
      <c r="B43" s="529"/>
      <c r="C43" s="118">
        <v>2022</v>
      </c>
      <c r="D43" s="114">
        <f t="shared" si="1"/>
        <v>0</v>
      </c>
      <c r="E43" s="113"/>
      <c r="F43" s="113"/>
      <c r="G43" s="113"/>
      <c r="H43" s="113"/>
      <c r="I43" s="114">
        <f>I19</f>
        <v>0</v>
      </c>
      <c r="J43" s="119"/>
      <c r="K43" s="119"/>
      <c r="L43" s="518"/>
    </row>
    <row r="44" spans="1:12" ht="21" customHeight="1">
      <c r="A44" s="530"/>
      <c r="B44" s="531"/>
      <c r="C44" s="118">
        <v>2023</v>
      </c>
      <c r="D44" s="114">
        <f t="shared" si="1"/>
        <v>0</v>
      </c>
      <c r="E44" s="113"/>
      <c r="F44" s="113"/>
      <c r="G44" s="113"/>
      <c r="H44" s="113"/>
      <c r="I44" s="114">
        <f>I20</f>
        <v>0</v>
      </c>
      <c r="J44" s="119"/>
      <c r="K44" s="119"/>
      <c r="L44" s="518"/>
    </row>
    <row r="45" spans="1:12" ht="69.75" customHeight="1">
      <c r="A45" s="515" t="s">
        <v>358</v>
      </c>
      <c r="B45" s="515"/>
      <c r="C45" s="117" t="s">
        <v>372</v>
      </c>
      <c r="D45" s="115">
        <f t="shared" si="1"/>
        <v>56.14</v>
      </c>
      <c r="E45" s="115"/>
      <c r="F45" s="115"/>
      <c r="G45" s="115"/>
      <c r="H45" s="115"/>
      <c r="I45" s="115">
        <f>I17+I18+I19+I20</f>
        <v>56.14</v>
      </c>
      <c r="J45" s="119"/>
      <c r="K45" s="119"/>
      <c r="L45" s="519"/>
    </row>
    <row r="46" spans="1:4" ht="14.25" customHeight="1">
      <c r="A46" s="110"/>
      <c r="B46" s="111"/>
      <c r="C46" s="111"/>
      <c r="D46" s="110"/>
    </row>
    <row r="47" spans="1:4" ht="14.25" customHeight="1">
      <c r="A47" s="110"/>
      <c r="B47" s="111"/>
      <c r="C47" s="111"/>
      <c r="D47" s="110"/>
    </row>
    <row r="48" spans="1:4" ht="14.25" customHeight="1">
      <c r="A48" s="110"/>
      <c r="B48" s="111"/>
      <c r="C48" s="111"/>
      <c r="D48" s="110"/>
    </row>
    <row r="49" spans="1:4" ht="14.25" customHeight="1">
      <c r="A49" s="110"/>
      <c r="B49" s="110"/>
      <c r="C49" s="110"/>
      <c r="D49" s="110"/>
    </row>
    <row r="50" spans="1:4" ht="14.25" customHeight="1">
      <c r="A50" s="110"/>
      <c r="B50" s="110"/>
      <c r="C50" s="110"/>
      <c r="D50" s="110"/>
    </row>
  </sheetData>
  <sheetProtection/>
  <mergeCells count="37">
    <mergeCell ref="A41:B44"/>
    <mergeCell ref="A37:A40"/>
    <mergeCell ref="B37:B40"/>
    <mergeCell ref="K17:K18"/>
    <mergeCell ref="A25:A28"/>
    <mergeCell ref="B25:B28"/>
    <mergeCell ref="A29:A32"/>
    <mergeCell ref="B29:B32"/>
    <mergeCell ref="A33:A36"/>
    <mergeCell ref="B33:B36"/>
    <mergeCell ref="B17:B20"/>
    <mergeCell ref="A45:B45"/>
    <mergeCell ref="A2:L2"/>
    <mergeCell ref="J3:L3"/>
    <mergeCell ref="L17:L45"/>
    <mergeCell ref="A1:N1"/>
    <mergeCell ref="A6:N6"/>
    <mergeCell ref="A8:A12"/>
    <mergeCell ref="B8:B12"/>
    <mergeCell ref="C8:C12"/>
    <mergeCell ref="I9:I12"/>
    <mergeCell ref="A16:L16"/>
    <mergeCell ref="A14:L14"/>
    <mergeCell ref="F11:F12"/>
    <mergeCell ref="G11:H11"/>
    <mergeCell ref="D8:D12"/>
    <mergeCell ref="E8:I8"/>
    <mergeCell ref="A17:A20"/>
    <mergeCell ref="A21:A24"/>
    <mergeCell ref="A15:L15"/>
    <mergeCell ref="J8:J12"/>
    <mergeCell ref="K8:K12"/>
    <mergeCell ref="E9:E12"/>
    <mergeCell ref="F9:H9"/>
    <mergeCell ref="F10:H10"/>
    <mergeCell ref="B21:B24"/>
    <mergeCell ref="L8:L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2020-12-21T11:50:39Z</cp:lastPrinted>
  <dcterms:created xsi:type="dcterms:W3CDTF">2014-10-21T12:29:03Z</dcterms:created>
  <dcterms:modified xsi:type="dcterms:W3CDTF">2020-12-21T12:12:08Z</dcterms:modified>
  <cp:category/>
  <cp:version/>
  <cp:contentType/>
  <cp:contentStatus/>
</cp:coreProperties>
</file>