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478" activeTab="0"/>
  </bookViews>
  <sheets>
    <sheet name="Изменения  от 29.04.19г." sheetId="1" r:id="rId1"/>
  </sheets>
  <definedNames>
    <definedName name="_xlnm.Print_Titles" localSheetId="0">'Изменения  от 29.04.19г.'!$5:$10</definedName>
    <definedName name="_xlnm.Print_Area" localSheetId="0">'Изменения  от 29.04.19г.'!$A$1:$M$299</definedName>
  </definedNames>
  <calcPr fullCalcOnLoad="1"/>
</workbook>
</file>

<file path=xl/sharedStrings.xml><?xml version="1.0" encoding="utf-8"?>
<sst xmlns="http://schemas.openxmlformats.org/spreadsheetml/2006/main" count="373" uniqueCount="192">
  <si>
    <t>Объём финансирования (тыс.руб.)</t>
  </si>
  <si>
    <t>Исполнители - ответственные за реализацию мероприятия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</si>
  <si>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</si>
  <si>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</si>
  <si>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</si>
  <si>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</si>
  <si>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Управление образования    </t>
  </si>
  <si>
    <t>МКУ «ГКМХ»</t>
  </si>
  <si>
    <t xml:space="preserve">Направление мероприятия </t>
  </si>
  <si>
    <t xml:space="preserve">Срок исполнения </t>
  </si>
  <si>
    <t xml:space="preserve">Управление образования, методический кабинет, руководители ОУ   </t>
  </si>
  <si>
    <t>МБДОУ ЦРР Д/С №3</t>
  </si>
  <si>
    <t>Субвенции</t>
  </si>
  <si>
    <t>МБДОУ ЦРР Д/С № 6</t>
  </si>
  <si>
    <t>В том числе: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</si>
  <si>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</si>
  <si>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</si>
  <si>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</si>
  <si>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</si>
  <si>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</si>
  <si>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</si>
  <si>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</si>
  <si>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</si>
  <si>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t>5. "Социальная поддержка населения"</t>
  </si>
  <si>
    <t>МБДОУ ЦРР Д/С № 5</t>
  </si>
  <si>
    <t>МБОУСОШ №1</t>
  </si>
  <si>
    <t>МБОУСОШ №2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</si>
  <si>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</si>
  <si>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</si>
  <si>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</si>
  <si>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</si>
  <si>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Управление образования, МБОУ ДОД ЦВР "Лад"</t>
  </si>
  <si>
    <t>ИТОГО по подпрограмме:</t>
  </si>
  <si>
    <t>Итого по разделу 1:</t>
  </si>
  <si>
    <t>МБДОУ ЦРР Д/С №5</t>
  </si>
  <si>
    <t>МБДОУ ЦРР Д/С №6</t>
  </si>
  <si>
    <t>МБОУ СОШ № 1</t>
  </si>
  <si>
    <t>МБОУ ДОД ЦВР "Лад"</t>
  </si>
  <si>
    <t>Итого по разделу 5:</t>
  </si>
  <si>
    <t>МКУ «ГКМХ», управление образования</t>
  </si>
  <si>
    <t>МБОУ ДОД ЦВР "Лад" (з/пл. педагогов доведение до указа президента)</t>
  </si>
  <si>
    <t>Итого по разделу 2:</t>
  </si>
  <si>
    <t>МБОУ ДОД ЦВР "Лад",МБОУ СОШ №1 , МБДОУ ЦРР Д/С №5</t>
  </si>
  <si>
    <t>Итого по разделу 3:</t>
  </si>
  <si>
    <t>МБОУ ДОД ЦВР "Лад",МБОУ СОШ №1 , МБДОУ ЦРР Д/С №5; Д/с 3; Д/с 6;СОШ №2</t>
  </si>
  <si>
    <t>д/с № 3</t>
  </si>
  <si>
    <t>д/с № 6</t>
  </si>
  <si>
    <t>сош № 1</t>
  </si>
  <si>
    <t>сош № 2</t>
  </si>
  <si>
    <t>ЦВР "Лад"</t>
  </si>
  <si>
    <t>СОШ № !</t>
  </si>
  <si>
    <t>СОШ № 2</t>
  </si>
  <si>
    <t>ГКМХ</t>
  </si>
  <si>
    <t>Вознаграждение за конкурс "Лучший учитель" 2017 г.-100%, 2018 г.- 100%, 2019 г.-100%, 2020г- 100%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</si>
  <si>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</t>
  </si>
  <si>
    <t>Повышение престижа педагогической профессии, продолжение обучения в ВУЗах и СУЗах выпускников 11 классов: 2017 г.- 88%, 2018 г.- 89%, 2019 г.- 90%, 2020г. -95%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</si>
  <si>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</si>
  <si>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</t>
  </si>
  <si>
    <t>Рост числа участников олимпиад, конкурсов, фестивалей, выставок к общему количеству обучающихся: 2017 г.-79%, 2018 г.- 80%, 2019 г.- 81%, 2020г. -82%</t>
  </si>
  <si>
    <t>МБОУ ДОД ЦВР "Лад" (софин.)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</si>
  <si>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</si>
  <si>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</si>
  <si>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4. Выполнение управленческих функций, обеспечивающих стабильность работы подведомственных учреждений</t>
  </si>
  <si>
    <t>Доля детей-инвалидов дошкольного возраста, охваченных социальной поддержкой: 2017 год -100%, 2018 год - 100%, 2019 год - 100%, 2020 год - 100%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</si>
  <si>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</si>
  <si>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</t>
  </si>
  <si>
    <t>Создание условий для участия обучающихся образовательных учреждений в конкурсах, соревнованиях за пределами города.</t>
  </si>
  <si>
    <t xml:space="preserve">Задачи:
1. Развитие  дошкольной образовательной сети, обеспечивающей равный доступ граждан города к услугам дошкольного образования, модернизация содержания образования.
2. Создание условий  для устойчивого развития системы общего  и  дополнительного образования детей, обеспечение ее современного качества, доступности и эффективности.  
3. Повышение привлекательности  работы в должности  педагога  в образовательных учреждения города.
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</si>
  <si>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</si>
  <si>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Унификация программного продукта. Внедрение программного комплекса «1С: управление школой», "Барс" в 2017 г.-100%, 2018 г.- 100%, 2019 г.- 100% , 2020г- 100%.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</si>
  <si>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</si>
  <si>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- 100%.
Удельный вес численности учащихся 9-10 классов, обучающихся по программам предпрофильной подготовки и программам профильного обучения к 2020 г. - 50%.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2020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2010 г. - 78%.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79%.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</si>
  <si>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</t>
  </si>
  <si>
    <t xml:space="preserve">       4.   Мероприятия муниципальной подпрограммы «Развитие общего, дошкольного и дополнительного образования ЗАТО г.Радужный Владимирской области»</t>
  </si>
  <si>
    <t>Цель: обеспечение доступности качественного дошкольного,  общего  и дополнительного  образования, соответствующего требованиям развития экономики, современным потребностям общества и каждого гражданина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</si>
  <si>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</si>
  <si>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</si>
  <si>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1.2.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</si>
  <si>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</si>
  <si>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</si>
  <si>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>1.4.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</si>
  <si>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образования.</t>
  </si>
  <si>
    <t>1.5.</t>
  </si>
  <si>
    <t>. Проведение городских праздников "День знаний", " "Выпускник", "День учителя"</t>
  </si>
  <si>
    <t>1.6.</t>
  </si>
  <si>
    <t xml:space="preserve"> Проведение военных сборов       (участие в проведении акции "День призывника")</t>
  </si>
  <si>
    <t>1.7.</t>
  </si>
  <si>
    <t xml:space="preserve"> Поощрение лучших учителей-лаурятов областного конкурса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</si>
  <si>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</si>
  <si>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</si>
  <si>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1.9.</t>
  </si>
  <si>
    <t>1.10.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</si>
  <si>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</si>
  <si>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2.1.1.</t>
  </si>
  <si>
    <t>2.1.2.</t>
  </si>
  <si>
    <t>Дошкольных учреждений  (текущий ремонт)</t>
  </si>
  <si>
    <t>3.1.</t>
  </si>
  <si>
    <t>3.2.</t>
  </si>
  <si>
    <t xml:space="preserve"> Выполнение  функций муниципального задания  </t>
  </si>
  <si>
    <t>4.1.</t>
  </si>
  <si>
    <t>5.1.</t>
  </si>
  <si>
    <t>5.2.</t>
  </si>
  <si>
    <t>5.3.</t>
  </si>
  <si>
    <t>Другие собственные доходы</t>
  </si>
  <si>
    <t>Собственных доходов:</t>
  </si>
  <si>
    <t>Всего</t>
  </si>
  <si>
    <t>в том числе</t>
  </si>
  <si>
    <t>Субсидии, иные межбюджетные трансферты</t>
  </si>
  <si>
    <t>из федерального бюджета</t>
  </si>
  <si>
    <t>из областного бюджета</t>
  </si>
  <si>
    <t>2.1.</t>
  </si>
  <si>
    <t>3.Выполнение муниципальных заданий</t>
  </si>
  <si>
    <t>2.2.</t>
  </si>
  <si>
    <t>Обеспечение пожарной безопасности образовательных учреждений</t>
  </si>
  <si>
    <t>д/сад № 3</t>
  </si>
  <si>
    <t>д/сад № 5</t>
  </si>
  <si>
    <t>д/сад № 6</t>
  </si>
  <si>
    <t>СОШ № 1</t>
  </si>
  <si>
    <t>д/с № 5</t>
  </si>
  <si>
    <t>Обеспечение пожарной безопасности образовательных учреждений согласно требованиям  пожарной безопасностина 100 %</t>
  </si>
  <si>
    <t>д/с  № 5</t>
  </si>
  <si>
    <t>Управление образования    в т. ч 40,250- премия отличникам учебы</t>
  </si>
  <si>
    <t>Цвр "Лад"</t>
  </si>
  <si>
    <t>2017-2021г.г.</t>
  </si>
  <si>
    <t>1.11.</t>
  </si>
  <si>
    <t>Обновление материально-технической базы для формирования у обучающихся современных технологических и и гуманитарных навыков</t>
  </si>
  <si>
    <t>Софинансирование на обновление материально-технической базы для формирования у обучающихся современных технологических и и гуманитарных навыков</t>
  </si>
  <si>
    <t>1.12.</t>
  </si>
  <si>
    <t>Обеспечение обновления МТБ для реализации основных и дополнительных общеобразовательных программ цифрового естественнонаучного и гуманитарного профилей. Создание центраобразования цифровогои гуманитарногопрофилей в 50% общеобразовательных учреждениях.</t>
  </si>
  <si>
    <t>2.3.1.</t>
  </si>
  <si>
    <t>2.3.</t>
  </si>
  <si>
    <t>2.3.2.</t>
  </si>
  <si>
    <t>2.3.3.</t>
  </si>
  <si>
    <t>2.3.4.</t>
  </si>
  <si>
    <t>Оборудование основного здангия системой внутреннего видеонаблюдения: установкавидеокамер в фойе, в рекриациях1 и 2 этажа, дооборудованиевидеорегистратора дополнительным жестким диском.</t>
  </si>
  <si>
    <t>2.3.5.</t>
  </si>
  <si>
    <t>Приобретение автоматических выключателей в электрощитки (замена)</t>
  </si>
  <si>
    <t xml:space="preserve">Ожидаемые результаты                                   Обеспеченность качественного воспроиведения записей, обеспеченностьантитеррористической защищенности объекта на всех этажах </t>
  </si>
  <si>
    <t xml:space="preserve">Обеспечение 100 % контроля по периметру здания в целях предупреждения возникновения угроз различного характера                   </t>
  </si>
  <si>
    <t>Охват видеонаблюдением до 80 % помещений общего пользования лестничные клетки и коридоры 1-2 эт. здания начальных классов; фойе и рекриации 2-3 эт. в основном здании)</t>
  </si>
  <si>
    <t>100% охват рекриаций 1-3 этажей видеонаблюдением, качественное воспроизведение записей, обеспеченность антитеррористической защищенности объекта на всех этажах</t>
  </si>
  <si>
    <t>Замена 30% автоматических выключателей для защиты распределительной сети</t>
  </si>
  <si>
    <t>Обеспечение функционирования програмного комплекса "1С -управление школой", создание ИС "Барс"</t>
  </si>
  <si>
    <t>Обеспечение безопасности дорожного движения</t>
  </si>
  <si>
    <t>ДОУ № 3</t>
  </si>
  <si>
    <t>ДОУ № 5</t>
  </si>
  <si>
    <t>ДОУ № 6</t>
  </si>
  <si>
    <t>Оснащение пунктов проведения ЕГЭ  (видеонаблюдение)</t>
  </si>
  <si>
    <t>Софинансирование на "Обновление материально-техническойбазы для формирования у обучающихся современных технологических и гуманитарных навыков"</t>
  </si>
  <si>
    <t xml:space="preserve">2. "Обеспечение лицензионных требований к деятельности образовательных учреждений" </t>
  </si>
  <si>
    <t>Цель: Развитие инфраструктурыи обеспечение безопасностиобучающихся и работников образовательных учреждений во время их учебной и трудовой деятельностипутем проведения реконструкций , капитальногои текущегоремонтов, повышениябезопасностижизнедеятельности: пожарной, антитеррористической , а также технической и электрической безопасностизданий, сооружений иобразовательных учреждений.</t>
  </si>
  <si>
    <t>ремонт п/блока</t>
  </si>
  <si>
    <t>Общнобразовательных учреждений (текущий ремонт)</t>
  </si>
  <si>
    <t>Учреждения дополнительного образования (текущий ремонт)</t>
  </si>
  <si>
    <t>Обеспечение антитеррористической защищенности, пожрной безопасности общеобразовательных организаций на обновление их материально-технической базы</t>
  </si>
  <si>
    <t>Оборудование здания начальных классов системой наружного видеонаблюдения, частичная замена видеокамер на камеры с более качественным изображением, дооборудование видеорегистратора дополнительным жестким диском,</t>
  </si>
  <si>
    <t>Оборудование видеокамерами цветного изображения рекреаций 1-3 этажей</t>
  </si>
  <si>
    <t>Оборудование здания начальных классов системой внутреннего видеонаблюдения: установка видеокамер на лестничных клетках, в коридорах первого и второго этажа</t>
  </si>
  <si>
    <t>Приобретение первичных средств пожаротушения (огнетушители)</t>
  </si>
  <si>
    <t>Задача: Обеспечение условий реализации образовательных программ соответствующих уровней.</t>
  </si>
  <si>
    <t>Нормативные затраты, непосредственно связанные с оказанием муниципальных услуг</t>
  </si>
  <si>
    <t>Цель: Повышение эффективности управления  в системе образования</t>
  </si>
  <si>
    <t xml:space="preserve"> Расходы на обеспечение деятельности (оказания услуг) муниципальных организаци</t>
  </si>
  <si>
    <t>Социальная поддержка детей-инвалидов дошкольного возраста</t>
  </si>
  <si>
    <t>Соцальная поддерка по оплате жилья и коммуных услуг отдельным категориям граждан</t>
  </si>
  <si>
    <t>Компенсация части родительской платы за содержание ребенка в  муниципальных образовательных учреждениях</t>
  </si>
  <si>
    <t>1.2.1.</t>
  </si>
  <si>
    <t>Приобретение методической литературы для работы с детьми с ограниченными возможностями</t>
  </si>
  <si>
    <t>2.1.3.</t>
  </si>
  <si>
    <t>Образовательные учр.</t>
  </si>
  <si>
    <t>Проектные работы, реконструкция, текущие ремонты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</si>
  <si>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
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</si>
  <si>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ЦБ, МК упр. образования</t>
  </si>
  <si>
    <t>тек. ремонт</t>
  </si>
  <si>
    <t>6.1.</t>
  </si>
  <si>
    <t>6.2.</t>
  </si>
  <si>
    <t>Итого по разделу 6:</t>
  </si>
  <si>
    <t>"Обновление материально-технической базы для формирования у обучающихся современных технологических и гуманитарных навыков"</t>
  </si>
  <si>
    <t>Обеспечение обновления МТБ для реализации основных и дополнительных общеобразовательных программ цифрового естественнонаучного и гуманитарного профилей. Создание центраобразования цифрового и гуманитарного профилей в 50% общеобразовательных учреждениях.</t>
  </si>
  <si>
    <t>6. "Национальный проект "Образование",  федеральный проект "Современная школа"</t>
  </si>
  <si>
    <t>Цель: Достижение результатов федерального проекта "Современная школа", направленного на реализацию мероприятия по обновлению материально-технической базы для формирования у обучающихся современных технологических и гуманитарных навыков.</t>
  </si>
  <si>
    <t>Задача: Реализация расходов на обновление  материально-технической базы для формирования у обучающихся современных технологических и гуманитарных навыков.</t>
  </si>
  <si>
    <t>СОШ 2</t>
  </si>
  <si>
    <t>СОШ 1</t>
  </si>
  <si>
    <t>ЦВР (софинанс)</t>
  </si>
  <si>
    <t xml:space="preserve"> ЦВР "Лад" (з/плата)</t>
  </si>
  <si>
    <t>ЦВР "Лад"  (все расзоды)</t>
  </si>
  <si>
    <t>Задачи: 
1.Обеспечение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
2. Обеспечение норм СанПиН для дошкольных, общеобразовательных учреждений и учреждений дополнительного образования
3.Выполнение основных общеобразовательных программдошкольногообразования в части реализации, содержанияи воспитания.</t>
  </si>
  <si>
    <t>Укрепление МТБ (приобретение)</t>
  </si>
  <si>
    <t xml:space="preserve">ЦВР Лад - приобрет </t>
  </si>
  <si>
    <t>Приложение № 2 к программе "Развитие образования</t>
  </si>
  <si>
    <t>ЗАТО г. Радужный Владимирской области"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</si>
</sst>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#,##0.000"/>
    <numFmt numFmtId="181" formatCode="#,##0.00000"/>
    <numFmt numFmtId="182" formatCode="0.000000"/>
    <numFmt numFmtId="183" formatCode="0.0000000"/>
    <numFmt numFmtId="184" formatCode="0.00000000"/>
    <numFmt numFmtId="185" formatCode="0.000000000"/>
    <numFmt numFmtId="186" formatCode="_-* #,##0.0_р_._-;\-* #,##0.0_р_._-;_-* &quot;-&quot;??_р_._-;_-@_-"/>
    <numFmt numFmtId="187" formatCode="_-* #,##0.000_р_._-;\-* #,##0.000_р_._-;_-* &quot;-&quot;??_р_._-;_-@_-"/>
    <numFmt numFmtId="188" formatCode="[$-FC19]d\ mmmm\ yyyy\ &quot;г.&quot;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\ _₽_-;\-* #,##0.000\ _₽_-;_-* &quot;-&quot;???\ _₽_-;_-@_-"/>
    <numFmt numFmtId="192" formatCode="_-* #,##0.0000000\ _₽_-;\-* #,##0.0000000\ _₽_-;_-* &quot;-&quot;???????\ _₽_-;_-@_-"/>
    <numFmt numFmtId="193" formatCode="_-* #,##0.0000\ _₽_-;\-* #,##0.0000\ _₽_-;_-* &quot;-&quot;????\ _₽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7" fontId="8" fillId="0" borderId="0" xfId="0" applyNumberFormat="1" applyFont="1" applyAlignment="1">
      <alignment horizontal="center"/>
    </xf>
    <xf numFmtId="179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1" fontId="3" fillId="0" borderId="10" xfId="60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2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top" wrapText="1"/>
    </xf>
    <xf numFmtId="178" fontId="7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vertical="top" wrapText="1"/>
    </xf>
    <xf numFmtId="178" fontId="7" fillId="0" borderId="10" xfId="60" applyNumberFormat="1" applyFont="1" applyFill="1" applyBorder="1" applyAlignment="1">
      <alignment horizontal="center" vertical="center" wrapText="1"/>
    </xf>
    <xf numFmtId="178" fontId="8" fillId="0" borderId="10" xfId="60" applyNumberFormat="1" applyFont="1" applyFill="1" applyBorder="1" applyAlignment="1">
      <alignment horizontal="center" vertical="center" wrapText="1"/>
    </xf>
    <xf numFmtId="178" fontId="3" fillId="0" borderId="10" xfId="60" applyNumberFormat="1" applyFont="1" applyFill="1" applyBorder="1" applyAlignment="1">
      <alignment horizontal="center" vertical="center" wrapText="1"/>
    </xf>
    <xf numFmtId="178" fontId="50" fillId="0" borderId="10" xfId="60" applyNumberFormat="1" applyFont="1" applyFill="1" applyBorder="1" applyAlignment="1">
      <alignment horizontal="center" vertical="center" wrapText="1"/>
    </xf>
    <xf numFmtId="178" fontId="7" fillId="0" borderId="10" xfId="60" applyNumberFormat="1" applyFont="1" applyFill="1" applyBorder="1" applyAlignment="1">
      <alignment horizontal="center" wrapText="1"/>
    </xf>
    <xf numFmtId="178" fontId="7" fillId="0" borderId="10" xfId="60" applyNumberFormat="1" applyFont="1" applyFill="1" applyBorder="1" applyAlignment="1">
      <alignment horizontal="center" vertical="top" wrapText="1"/>
    </xf>
    <xf numFmtId="178" fontId="8" fillId="0" borderId="10" xfId="60" applyNumberFormat="1" applyFont="1" applyFill="1" applyBorder="1" applyAlignment="1">
      <alignment horizontal="center" vertical="top" wrapText="1"/>
    </xf>
    <xf numFmtId="178" fontId="3" fillId="0" borderId="10" xfId="60" applyNumberFormat="1" applyFont="1" applyFill="1" applyBorder="1" applyAlignment="1">
      <alignment horizontal="center" vertical="top" wrapText="1"/>
    </xf>
    <xf numFmtId="178" fontId="9" fillId="0" borderId="10" xfId="0" applyNumberFormat="1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2" fontId="8" fillId="0" borderId="10" xfId="0" applyNumberFormat="1" applyFont="1" applyFill="1" applyBorder="1" applyAlignment="1">
      <alignment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7" fillId="0" borderId="10" xfId="60" applyNumberFormat="1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78" fontId="4" fillId="0" borderId="10" xfId="6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178" fontId="4" fillId="0" borderId="10" xfId="60" applyNumberFormat="1" applyFont="1" applyFill="1" applyBorder="1" applyAlignment="1">
      <alignment horizontal="center" vertical="top" wrapText="1"/>
    </xf>
    <xf numFmtId="178" fontId="7" fillId="0" borderId="10" xfId="60" applyNumberFormat="1" applyFont="1" applyFill="1" applyBorder="1" applyAlignment="1">
      <alignment vertical="top" wrapText="1"/>
    </xf>
    <xf numFmtId="178" fontId="9" fillId="0" borderId="10" xfId="6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top" wrapText="1"/>
    </xf>
    <xf numFmtId="178" fontId="8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178" fontId="7" fillId="0" borderId="10" xfId="6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178" fontId="11" fillId="0" borderId="10" xfId="0" applyNumberFormat="1" applyFont="1" applyFill="1" applyBorder="1" applyAlignment="1">
      <alignment vertical="center"/>
    </xf>
    <xf numFmtId="178" fontId="11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179" fontId="9" fillId="0" borderId="0" xfId="0" applyNumberFormat="1" applyFont="1" applyAlignment="1">
      <alignment horizontal="center"/>
    </xf>
    <xf numFmtId="179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177" fontId="3" fillId="33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2" fontId="4" fillId="0" borderId="10" xfId="6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/>
    </xf>
    <xf numFmtId="178" fontId="7" fillId="0" borderId="13" xfId="0" applyNumberFormat="1" applyFont="1" applyFill="1" applyBorder="1" applyAlignment="1">
      <alignment horizontal="center" vertical="top" wrapText="1"/>
    </xf>
    <xf numFmtId="178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178" fontId="8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top" wrapText="1"/>
    </xf>
    <xf numFmtId="178" fontId="8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center" vertical="top" wrapText="1"/>
    </xf>
    <xf numFmtId="178" fontId="8" fillId="0" borderId="19" xfId="0" applyNumberFormat="1" applyFont="1" applyFill="1" applyBorder="1" applyAlignment="1">
      <alignment horizontal="center" vertical="top" wrapText="1"/>
    </xf>
    <xf numFmtId="178" fontId="8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/>
    </xf>
    <xf numFmtId="178" fontId="8" fillId="0" borderId="14" xfId="60" applyNumberFormat="1" applyFont="1" applyFill="1" applyBorder="1" applyAlignment="1">
      <alignment horizontal="center" vertical="center" wrapText="1"/>
    </xf>
    <xf numFmtId="178" fontId="4" fillId="0" borderId="14" xfId="6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178" fontId="7" fillId="0" borderId="17" xfId="60" applyNumberFormat="1" applyFont="1" applyFill="1" applyBorder="1" applyAlignment="1">
      <alignment horizontal="center" vertical="center" wrapText="1"/>
    </xf>
    <xf numFmtId="178" fontId="4" fillId="0" borderId="17" xfId="60" applyNumberFormat="1" applyFont="1" applyFill="1" applyBorder="1" applyAlignment="1">
      <alignment horizontal="center" vertical="center" wrapText="1"/>
    </xf>
    <xf numFmtId="171" fontId="3" fillId="0" borderId="17" xfId="60" applyFont="1" applyFill="1" applyBorder="1" applyAlignment="1">
      <alignment horizontal="center" vertical="top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78" fontId="8" fillId="0" borderId="17" xfId="60" applyNumberFormat="1" applyFont="1" applyFill="1" applyBorder="1" applyAlignment="1">
      <alignment horizontal="center" vertical="center" wrapText="1"/>
    </xf>
    <xf numFmtId="178" fontId="8" fillId="0" borderId="17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71" fontId="3" fillId="0" borderId="23" xfId="6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/>
    </xf>
    <xf numFmtId="178" fontId="7" fillId="0" borderId="24" xfId="60" applyNumberFormat="1" applyFont="1" applyFill="1" applyBorder="1" applyAlignment="1">
      <alignment horizontal="center" vertical="center" wrapText="1"/>
    </xf>
    <xf numFmtId="178" fontId="4" fillId="0" borderId="24" xfId="60" applyNumberFormat="1" applyFont="1" applyFill="1" applyBorder="1" applyAlignment="1">
      <alignment horizontal="center" vertical="center" wrapText="1"/>
    </xf>
    <xf numFmtId="171" fontId="3" fillId="0" borderId="24" xfId="60" applyFont="1" applyFill="1" applyBorder="1" applyAlignment="1">
      <alignment horizontal="center" vertical="top" wrapText="1"/>
    </xf>
    <xf numFmtId="0" fontId="14" fillId="0" borderId="23" xfId="0" applyFont="1" applyBorder="1" applyAlignment="1">
      <alignment horizontal="center"/>
    </xf>
    <xf numFmtId="178" fontId="9" fillId="0" borderId="23" xfId="60" applyNumberFormat="1" applyFont="1" applyFill="1" applyBorder="1" applyAlignment="1">
      <alignment horizontal="center" vertical="center" wrapText="1"/>
    </xf>
    <xf numFmtId="2" fontId="3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25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16" fontId="9" fillId="0" borderId="31" xfId="0" applyNumberFormat="1" applyFont="1" applyFill="1" applyBorder="1" applyAlignment="1">
      <alignment horizontal="center" vertical="top" wrapText="1"/>
    </xf>
    <xf numFmtId="16" fontId="9" fillId="0" borderId="21" xfId="0" applyNumberFormat="1" applyFont="1" applyFill="1" applyBorder="1" applyAlignment="1">
      <alignment horizontal="center" vertical="top" wrapText="1"/>
    </xf>
    <xf numFmtId="16" fontId="9" fillId="0" borderId="32" xfId="0" applyNumberFormat="1" applyFont="1" applyFill="1" applyBorder="1" applyAlignment="1">
      <alignment horizontal="center" vertical="top" wrapText="1"/>
    </xf>
    <xf numFmtId="16" fontId="9" fillId="0" borderId="33" xfId="0" applyNumberFormat="1" applyFont="1" applyFill="1" applyBorder="1" applyAlignment="1">
      <alignment horizontal="left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" fontId="9" fillId="0" borderId="36" xfId="0" applyNumberFormat="1" applyFont="1" applyFill="1" applyBorder="1" applyAlignment="1">
      <alignment horizontal="center" vertical="top" wrapText="1"/>
    </xf>
    <xf numFmtId="16" fontId="9" fillId="0" borderId="37" xfId="0" applyNumberFormat="1" applyFont="1" applyFill="1" applyBorder="1" applyAlignment="1">
      <alignment horizontal="center" vertical="top" wrapText="1"/>
    </xf>
    <xf numFmtId="16" fontId="9" fillId="0" borderId="38" xfId="0" applyNumberFormat="1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1" fillId="0" borderId="3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33" xfId="0" applyFont="1" applyFill="1" applyBorder="1" applyAlignment="1">
      <alignment horizontal="left" vertical="center" wrapText="1"/>
    </xf>
    <xf numFmtId="0" fontId="0" fillId="0" borderId="39" xfId="0" applyBorder="1" applyAlignment="1">
      <alignment/>
    </xf>
    <xf numFmtId="0" fontId="0" fillId="0" borderId="12" xfId="0" applyBorder="1" applyAlignment="1">
      <alignment/>
    </xf>
    <xf numFmtId="178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6" fontId="6" fillId="0" borderId="36" xfId="0" applyNumberFormat="1" applyFont="1" applyFill="1" applyBorder="1" applyAlignment="1">
      <alignment horizontal="left" vertical="top" wrapText="1"/>
    </xf>
    <xf numFmtId="16" fontId="6" fillId="0" borderId="35" xfId="0" applyNumberFormat="1" applyFont="1" applyFill="1" applyBorder="1" applyAlignment="1">
      <alignment horizontal="left" vertical="top" wrapText="1"/>
    </xf>
    <xf numFmtId="16" fontId="6" fillId="0" borderId="37" xfId="0" applyNumberFormat="1" applyFont="1" applyFill="1" applyBorder="1" applyAlignment="1">
      <alignment horizontal="left" vertical="top" wrapText="1"/>
    </xf>
    <xf numFmtId="16" fontId="6" fillId="0" borderId="28" xfId="0" applyNumberFormat="1" applyFont="1" applyFill="1" applyBorder="1" applyAlignment="1">
      <alignment horizontal="left" vertical="top" wrapText="1"/>
    </xf>
    <xf numFmtId="16" fontId="6" fillId="0" borderId="38" xfId="0" applyNumberFormat="1" applyFont="1" applyFill="1" applyBorder="1" applyAlignment="1">
      <alignment horizontal="left" vertical="top" wrapText="1"/>
    </xf>
    <xf numFmtId="16" fontId="6" fillId="0" borderId="40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36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19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6" fillId="0" borderId="4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left" vertical="center"/>
    </xf>
    <xf numFmtId="0" fontId="5" fillId="0" borderId="39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41" xfId="0" applyFont="1" applyFill="1" applyBorder="1" applyAlignment="1">
      <alignment horizontal="left" vertical="top" wrapText="1"/>
    </xf>
    <xf numFmtId="2" fontId="3" fillId="0" borderId="10" xfId="6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left" vertical="top" wrapText="1"/>
    </xf>
    <xf numFmtId="0" fontId="0" fillId="0" borderId="39" xfId="0" applyBorder="1" applyAlignment="1">
      <alignment vertical="top"/>
    </xf>
    <xf numFmtId="0" fontId="0" fillId="0" borderId="12" xfId="0" applyBorder="1" applyAlignment="1">
      <alignment vertical="top"/>
    </xf>
    <xf numFmtId="0" fontId="11" fillId="0" borderId="10" xfId="0" applyFont="1" applyBorder="1" applyAlignment="1">
      <alignment horizontal="center"/>
    </xf>
    <xf numFmtId="16" fontId="3" fillId="0" borderId="10" xfId="0" applyNumberFormat="1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3" fillId="0" borderId="4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79" fontId="3" fillId="0" borderId="44" xfId="0" applyNumberFormat="1" applyFont="1" applyFill="1" applyBorder="1" applyAlignment="1">
      <alignment horizontal="left" vertical="top" wrapText="1"/>
    </xf>
    <xf numFmtId="179" fontId="3" fillId="0" borderId="11" xfId="0" applyNumberFormat="1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8" fillId="33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/>
    </xf>
    <xf numFmtId="0" fontId="8" fillId="0" borderId="36" xfId="0" applyFont="1" applyFill="1" applyBorder="1" applyAlignment="1">
      <alignment horizontal="center" vertical="top" wrapText="1"/>
    </xf>
    <xf numFmtId="0" fontId="0" fillId="0" borderId="35" xfId="0" applyBorder="1" applyAlignment="1">
      <alignment wrapText="1"/>
    </xf>
    <xf numFmtId="0" fontId="6" fillId="0" borderId="37" xfId="0" applyFont="1" applyFill="1" applyBorder="1" applyAlignment="1">
      <alignment horizontal="center" vertical="top" wrapText="1"/>
    </xf>
    <xf numFmtId="0" fontId="0" fillId="0" borderId="28" xfId="0" applyBorder="1" applyAlignment="1">
      <alignment wrapText="1"/>
    </xf>
    <xf numFmtId="0" fontId="6" fillId="0" borderId="38" xfId="0" applyFont="1" applyFill="1" applyBorder="1" applyAlignment="1">
      <alignment horizontal="center" vertical="top" wrapText="1"/>
    </xf>
    <xf numFmtId="0" fontId="0" fillId="0" borderId="40" xfId="0" applyBorder="1" applyAlignment="1">
      <alignment wrapText="1"/>
    </xf>
    <xf numFmtId="0" fontId="9" fillId="0" borderId="33" xfId="0" applyFont="1" applyFill="1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4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8" fillId="0" borderId="3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0" fillId="0" borderId="3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7" fillId="0" borderId="19" xfId="0" applyNumberFormat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36" xfId="0" applyFont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0"/>
  <sheetViews>
    <sheetView tabSelected="1" view="pageBreakPreview" zoomScale="50" zoomScaleNormal="64" zoomScaleSheetLayoutView="50" zoomScalePageLayoutView="50" workbookViewId="0" topLeftCell="A293">
      <selection activeCell="L5" sqref="L5:L9"/>
    </sheetView>
  </sheetViews>
  <sheetFormatPr defaultColWidth="9.00390625" defaultRowHeight="12.75"/>
  <cols>
    <col min="1" max="1" width="10.25390625" style="98" customWidth="1"/>
    <col min="2" max="2" width="56.75390625" style="78" customWidth="1"/>
    <col min="3" max="3" width="14.875" style="78" customWidth="1"/>
    <col min="4" max="4" width="17.625" style="78" customWidth="1"/>
    <col min="5" max="5" width="24.75390625" style="78" customWidth="1"/>
    <col min="6" max="6" width="23.75390625" style="78" customWidth="1"/>
    <col min="7" max="7" width="26.625" style="78" customWidth="1"/>
    <col min="8" max="8" width="21.125" style="78" customWidth="1"/>
    <col min="9" max="9" width="24.375" style="78" customWidth="1"/>
    <col min="10" max="10" width="25.375" style="78" customWidth="1"/>
    <col min="11" max="11" width="16.625" style="78" customWidth="1"/>
    <col min="12" max="12" width="32.375" style="87" customWidth="1"/>
    <col min="13" max="13" width="65.875" style="105" customWidth="1"/>
    <col min="14" max="16384" width="9.125" style="78" customWidth="1"/>
  </cols>
  <sheetData>
    <row r="1" spans="11:13" ht="33.75" customHeight="1">
      <c r="K1" s="148" t="s">
        <v>190</v>
      </c>
      <c r="L1" s="148"/>
      <c r="M1" s="148"/>
    </row>
    <row r="2" spans="11:13" ht="30.75" customHeight="1">
      <c r="K2" s="148" t="s">
        <v>191</v>
      </c>
      <c r="L2" s="148"/>
      <c r="M2" s="148"/>
    </row>
    <row r="3" spans="2:12" ht="19.5" customHeight="1">
      <c r="B3" s="205" t="s">
        <v>73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ht="18.75">
      <c r="J4" s="78" t="s">
        <v>17</v>
      </c>
    </row>
    <row r="5" spans="1:13" ht="28.5" customHeight="1">
      <c r="A5" s="272"/>
      <c r="B5" s="206" t="s">
        <v>8</v>
      </c>
      <c r="C5" s="206"/>
      <c r="D5" s="206" t="s">
        <v>9</v>
      </c>
      <c r="E5" s="206" t="s">
        <v>0</v>
      </c>
      <c r="F5" s="206" t="s">
        <v>14</v>
      </c>
      <c r="G5" s="206"/>
      <c r="H5" s="206"/>
      <c r="I5" s="206"/>
      <c r="J5" s="206"/>
      <c r="K5" s="206" t="s">
        <v>15</v>
      </c>
      <c r="L5" s="207" t="s">
        <v>1</v>
      </c>
      <c r="M5" s="267" t="s">
        <v>137</v>
      </c>
    </row>
    <row r="6" spans="1:13" ht="28.5" customHeight="1">
      <c r="A6" s="272"/>
      <c r="B6" s="206"/>
      <c r="C6" s="206"/>
      <c r="D6" s="206"/>
      <c r="E6" s="206"/>
      <c r="F6" s="206" t="s">
        <v>12</v>
      </c>
      <c r="G6" s="206" t="s">
        <v>104</v>
      </c>
      <c r="H6" s="206"/>
      <c r="I6" s="206"/>
      <c r="J6" s="206"/>
      <c r="K6" s="206"/>
      <c r="L6" s="207"/>
      <c r="M6" s="268"/>
    </row>
    <row r="7" spans="1:13" ht="28.5" customHeight="1">
      <c r="A7" s="272"/>
      <c r="B7" s="206"/>
      <c r="C7" s="206"/>
      <c r="D7" s="206"/>
      <c r="E7" s="206"/>
      <c r="F7" s="206"/>
      <c r="G7" s="206" t="s">
        <v>107</v>
      </c>
      <c r="H7" s="206"/>
      <c r="I7" s="206"/>
      <c r="J7" s="206" t="s">
        <v>103</v>
      </c>
      <c r="K7" s="206"/>
      <c r="L7" s="207"/>
      <c r="M7" s="268"/>
    </row>
    <row r="8" spans="1:13" ht="28.5" customHeight="1">
      <c r="A8" s="272"/>
      <c r="B8" s="206"/>
      <c r="C8" s="206"/>
      <c r="D8" s="206"/>
      <c r="E8" s="206"/>
      <c r="F8" s="206"/>
      <c r="G8" s="206" t="s">
        <v>105</v>
      </c>
      <c r="H8" s="206" t="s">
        <v>106</v>
      </c>
      <c r="I8" s="206"/>
      <c r="J8" s="206"/>
      <c r="K8" s="206"/>
      <c r="L8" s="207"/>
      <c r="M8" s="268"/>
    </row>
    <row r="9" spans="1:13" ht="73.5" customHeight="1">
      <c r="A9" s="272"/>
      <c r="B9" s="206"/>
      <c r="C9" s="206"/>
      <c r="D9" s="206"/>
      <c r="E9" s="206"/>
      <c r="F9" s="206"/>
      <c r="G9" s="206"/>
      <c r="H9" s="42" t="s">
        <v>108</v>
      </c>
      <c r="I9" s="42" t="s">
        <v>109</v>
      </c>
      <c r="J9" s="206"/>
      <c r="K9" s="206"/>
      <c r="L9" s="207"/>
      <c r="M9" s="269"/>
    </row>
    <row r="10" spans="1:13" s="101" customFormat="1" ht="20.25">
      <c r="A10" s="100">
        <v>1</v>
      </c>
      <c r="B10" s="273">
        <v>2</v>
      </c>
      <c r="C10" s="273"/>
      <c r="D10" s="74">
        <v>3</v>
      </c>
      <c r="E10" s="74">
        <v>4</v>
      </c>
      <c r="F10" s="74">
        <v>5</v>
      </c>
      <c r="G10" s="74">
        <v>6</v>
      </c>
      <c r="H10" s="74">
        <v>7</v>
      </c>
      <c r="I10" s="74">
        <v>8</v>
      </c>
      <c r="J10" s="74">
        <v>9</v>
      </c>
      <c r="K10" s="74">
        <v>10</v>
      </c>
      <c r="L10" s="74">
        <v>11</v>
      </c>
      <c r="M10" s="103">
        <v>12</v>
      </c>
    </row>
    <row r="11" spans="1:13" ht="12.75" customHeight="1">
      <c r="A11" s="310" t="s">
        <v>30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2"/>
    </row>
    <row r="12" spans="1:13" ht="12.75" customHeight="1">
      <c r="A12" s="313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7"/>
    </row>
    <row r="13" spans="1:13" ht="20.25" customHeight="1">
      <c r="A13" s="210" t="s">
        <v>74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2"/>
    </row>
    <row r="14" spans="1:13" ht="86.25" customHeight="1">
      <c r="A14" s="211" t="s">
        <v>67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3"/>
    </row>
    <row r="15" spans="1:13" ht="25.5" customHeight="1">
      <c r="A15" s="210" t="s">
        <v>2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30"/>
    </row>
    <row r="16" spans="1:13" ht="24.75" customHeight="1">
      <c r="A16" s="175" t="s">
        <v>75</v>
      </c>
      <c r="B16" s="264" t="s">
        <v>76</v>
      </c>
      <c r="C16" s="264"/>
      <c r="D16" s="262">
        <v>2017</v>
      </c>
      <c r="E16" s="266">
        <f>F16+G16+J16+K16</f>
        <v>0</v>
      </c>
      <c r="F16" s="266"/>
      <c r="G16" s="276">
        <f>H16+I16</f>
        <v>0</v>
      </c>
      <c r="H16" s="265"/>
      <c r="I16" s="265">
        <v>0</v>
      </c>
      <c r="J16" s="265">
        <v>0</v>
      </c>
      <c r="K16" s="275"/>
      <c r="L16" s="274" t="s">
        <v>3</v>
      </c>
      <c r="M16" s="264" t="s">
        <v>68</v>
      </c>
    </row>
    <row r="17" spans="1:13" ht="24.75" customHeight="1">
      <c r="A17" s="175"/>
      <c r="B17" s="264"/>
      <c r="C17" s="264"/>
      <c r="D17" s="263"/>
      <c r="E17" s="266"/>
      <c r="F17" s="266"/>
      <c r="G17" s="276"/>
      <c r="H17" s="265"/>
      <c r="I17" s="265"/>
      <c r="J17" s="265"/>
      <c r="K17" s="275"/>
      <c r="L17" s="274"/>
      <c r="M17" s="264"/>
    </row>
    <row r="18" spans="1:13" ht="24.75" customHeight="1">
      <c r="A18" s="175"/>
      <c r="B18" s="264"/>
      <c r="C18" s="264"/>
      <c r="D18" s="10">
        <v>2018</v>
      </c>
      <c r="E18" s="24">
        <f>F18+G18+J18+K18</f>
        <v>0</v>
      </c>
      <c r="F18" s="24"/>
      <c r="G18" s="25">
        <f>H18+I18</f>
        <v>0</v>
      </c>
      <c r="H18" s="26"/>
      <c r="I18" s="26">
        <v>0</v>
      </c>
      <c r="J18" s="26">
        <v>0</v>
      </c>
      <c r="K18" s="27"/>
      <c r="L18" s="9" t="s">
        <v>3</v>
      </c>
      <c r="M18" s="264"/>
    </row>
    <row r="19" spans="1:13" ht="24.75" customHeight="1">
      <c r="A19" s="175"/>
      <c r="B19" s="264"/>
      <c r="C19" s="264"/>
      <c r="D19" s="10">
        <v>2019</v>
      </c>
      <c r="E19" s="24">
        <f>F19+G19+J19+K19</f>
        <v>0</v>
      </c>
      <c r="F19" s="25"/>
      <c r="G19" s="25">
        <f>H19+I19</f>
        <v>0</v>
      </c>
      <c r="H19" s="25"/>
      <c r="I19" s="26">
        <v>0</v>
      </c>
      <c r="J19" s="26">
        <v>0</v>
      </c>
      <c r="K19" s="27"/>
      <c r="L19" s="9" t="s">
        <v>3</v>
      </c>
      <c r="M19" s="264"/>
    </row>
    <row r="20" spans="1:13" ht="24.75" customHeight="1">
      <c r="A20" s="175"/>
      <c r="B20" s="264"/>
      <c r="C20" s="264"/>
      <c r="D20" s="10">
        <v>2020</v>
      </c>
      <c r="E20" s="24">
        <f>F20+G20+J20+K20</f>
        <v>0</v>
      </c>
      <c r="F20" s="24"/>
      <c r="G20" s="25">
        <f>H20+I20</f>
        <v>0</v>
      </c>
      <c r="H20" s="25"/>
      <c r="I20" s="26">
        <v>0</v>
      </c>
      <c r="J20" s="26">
        <v>0</v>
      </c>
      <c r="K20" s="28"/>
      <c r="L20" s="43" t="s">
        <v>3</v>
      </c>
      <c r="M20" s="264"/>
    </row>
    <row r="21" spans="1:13" ht="24.75" customHeight="1">
      <c r="A21" s="175"/>
      <c r="B21" s="264"/>
      <c r="C21" s="264"/>
      <c r="D21" s="10">
        <v>2021</v>
      </c>
      <c r="E21" s="24">
        <f>F21+G21+J21+K21</f>
        <v>0</v>
      </c>
      <c r="F21" s="24"/>
      <c r="G21" s="25">
        <f>H21+I21</f>
        <v>0</v>
      </c>
      <c r="H21" s="25"/>
      <c r="I21" s="26">
        <v>0</v>
      </c>
      <c r="J21" s="26">
        <v>0</v>
      </c>
      <c r="K21" s="28"/>
      <c r="L21" s="43" t="s">
        <v>3</v>
      </c>
      <c r="M21" s="264"/>
    </row>
    <row r="22" spans="1:13" ht="55.5" customHeight="1">
      <c r="A22" s="175" t="s">
        <v>77</v>
      </c>
      <c r="B22" s="167" t="s">
        <v>171</v>
      </c>
      <c r="C22" s="167"/>
      <c r="D22" s="16">
        <v>2017</v>
      </c>
      <c r="E22" s="45">
        <f aca="true" t="shared" si="0" ref="E22:E27">F22+I22+J22+K22</f>
        <v>155.5623</v>
      </c>
      <c r="F22" s="45"/>
      <c r="G22" s="45">
        <f aca="true" t="shared" si="1" ref="G22:G27">H22+I22</f>
        <v>0</v>
      </c>
      <c r="H22" s="46"/>
      <c r="I22" s="47">
        <v>0</v>
      </c>
      <c r="J22" s="47">
        <f>40+68.197-39.45+0.42+51.795+4.6003+30</f>
        <v>155.5623</v>
      </c>
      <c r="K22" s="48"/>
      <c r="L22" s="13" t="s">
        <v>6</v>
      </c>
      <c r="M22" s="167" t="s">
        <v>58</v>
      </c>
    </row>
    <row r="23" spans="1:13" ht="57.75" customHeight="1">
      <c r="A23" s="175"/>
      <c r="B23" s="167"/>
      <c r="C23" s="167"/>
      <c r="D23" s="16">
        <v>2018</v>
      </c>
      <c r="E23" s="45">
        <f t="shared" si="0"/>
        <v>394.40002999999996</v>
      </c>
      <c r="F23" s="45"/>
      <c r="G23" s="45">
        <f t="shared" si="1"/>
        <v>0</v>
      </c>
      <c r="H23" s="46"/>
      <c r="I23" s="47">
        <v>0</v>
      </c>
      <c r="J23" s="47">
        <f>325-70-60+150-5.5-9.25-8.1+41.63+30.62003</f>
        <v>394.40002999999996</v>
      </c>
      <c r="K23" s="48"/>
      <c r="L23" s="13" t="s">
        <v>121</v>
      </c>
      <c r="M23" s="167"/>
    </row>
    <row r="24" spans="1:13" ht="50.25" customHeight="1">
      <c r="A24" s="175"/>
      <c r="B24" s="167"/>
      <c r="C24" s="167"/>
      <c r="D24" s="16">
        <v>2019</v>
      </c>
      <c r="E24" s="45">
        <f t="shared" si="0"/>
        <v>362.67999999999995</v>
      </c>
      <c r="F24" s="45"/>
      <c r="G24" s="45">
        <f t="shared" si="1"/>
        <v>0</v>
      </c>
      <c r="H24" s="46"/>
      <c r="I24" s="47">
        <v>0</v>
      </c>
      <c r="J24" s="45">
        <f>363.78-1.1</f>
        <v>362.67999999999995</v>
      </c>
      <c r="K24" s="48"/>
      <c r="L24" s="13" t="s">
        <v>31</v>
      </c>
      <c r="M24" s="167"/>
    </row>
    <row r="25" spans="1:13" ht="59.25" customHeight="1">
      <c r="A25" s="175"/>
      <c r="B25" s="167"/>
      <c r="C25" s="167"/>
      <c r="D25" s="16">
        <v>2020</v>
      </c>
      <c r="E25" s="45">
        <f t="shared" si="0"/>
        <v>0</v>
      </c>
      <c r="F25" s="45"/>
      <c r="G25" s="45">
        <f t="shared" si="1"/>
        <v>0</v>
      </c>
      <c r="H25" s="46"/>
      <c r="I25" s="47">
        <v>0</v>
      </c>
      <c r="J25" s="47">
        <v>0</v>
      </c>
      <c r="K25" s="48"/>
      <c r="L25" s="13" t="s">
        <v>31</v>
      </c>
      <c r="M25" s="167"/>
    </row>
    <row r="26" spans="1:13" ht="57.75" customHeight="1">
      <c r="A26" s="175"/>
      <c r="B26" s="167"/>
      <c r="C26" s="167"/>
      <c r="D26" s="16">
        <v>2021</v>
      </c>
      <c r="E26" s="45">
        <f t="shared" si="0"/>
        <v>0</v>
      </c>
      <c r="F26" s="45"/>
      <c r="G26" s="45">
        <f t="shared" si="1"/>
        <v>0</v>
      </c>
      <c r="H26" s="46"/>
      <c r="I26" s="47">
        <v>0</v>
      </c>
      <c r="J26" s="47">
        <v>0</v>
      </c>
      <c r="K26" s="48"/>
      <c r="L26" s="13" t="s">
        <v>31</v>
      </c>
      <c r="M26" s="167"/>
    </row>
    <row r="27" spans="1:13" ht="45.75" customHeight="1">
      <c r="A27" s="80" t="s">
        <v>166</v>
      </c>
      <c r="B27" s="167" t="s">
        <v>167</v>
      </c>
      <c r="C27" s="167"/>
      <c r="D27" s="16">
        <v>2019</v>
      </c>
      <c r="E27" s="45">
        <f t="shared" si="0"/>
        <v>1.1</v>
      </c>
      <c r="F27" s="45"/>
      <c r="G27" s="45">
        <f t="shared" si="1"/>
        <v>0</v>
      </c>
      <c r="H27" s="46"/>
      <c r="I27" s="47">
        <v>0</v>
      </c>
      <c r="J27" s="45">
        <v>1.1</v>
      </c>
      <c r="K27" s="48"/>
      <c r="L27" s="13"/>
      <c r="M27" s="44"/>
    </row>
    <row r="28" spans="1:13" ht="24.75" customHeight="1">
      <c r="A28" s="175" t="s">
        <v>78</v>
      </c>
      <c r="B28" s="167" t="s">
        <v>79</v>
      </c>
      <c r="C28" s="167"/>
      <c r="D28" s="16">
        <v>2017</v>
      </c>
      <c r="E28" s="49">
        <f aca="true" t="shared" si="2" ref="E28:E33">F28+G28+J28+K28</f>
        <v>11</v>
      </c>
      <c r="F28" s="49"/>
      <c r="G28" s="50">
        <f aca="true" t="shared" si="3" ref="G28:G34">H28+I28</f>
        <v>0</v>
      </c>
      <c r="H28" s="51"/>
      <c r="I28" s="52">
        <v>0</v>
      </c>
      <c r="J28" s="52">
        <f>11</f>
        <v>11</v>
      </c>
      <c r="K28" s="53"/>
      <c r="L28" s="13" t="s">
        <v>5</v>
      </c>
      <c r="M28" s="167" t="s">
        <v>57</v>
      </c>
    </row>
    <row r="29" spans="1:13" ht="24.75" customHeight="1">
      <c r="A29" s="175"/>
      <c r="B29" s="167"/>
      <c r="C29" s="167"/>
      <c r="D29" s="16">
        <v>2018</v>
      </c>
      <c r="E29" s="49">
        <f t="shared" si="2"/>
        <v>0</v>
      </c>
      <c r="F29" s="49"/>
      <c r="G29" s="50">
        <f t="shared" si="3"/>
        <v>0</v>
      </c>
      <c r="H29" s="51"/>
      <c r="I29" s="52">
        <v>0</v>
      </c>
      <c r="J29" s="52">
        <v>0</v>
      </c>
      <c r="K29" s="53"/>
      <c r="L29" s="13" t="s">
        <v>4</v>
      </c>
      <c r="M29" s="167"/>
    </row>
    <row r="30" spans="1:13" ht="24.75" customHeight="1">
      <c r="A30" s="175"/>
      <c r="B30" s="167"/>
      <c r="C30" s="167"/>
      <c r="D30" s="16">
        <v>2019</v>
      </c>
      <c r="E30" s="49">
        <f t="shared" si="2"/>
        <v>0</v>
      </c>
      <c r="F30" s="49"/>
      <c r="G30" s="50">
        <f t="shared" si="3"/>
        <v>0</v>
      </c>
      <c r="H30" s="51"/>
      <c r="I30" s="52">
        <v>0</v>
      </c>
      <c r="J30" s="52">
        <v>0</v>
      </c>
      <c r="K30" s="53"/>
      <c r="L30" s="13" t="s">
        <v>4</v>
      </c>
      <c r="M30" s="167"/>
    </row>
    <row r="31" spans="1:13" ht="24.75" customHeight="1">
      <c r="A31" s="175"/>
      <c r="B31" s="167"/>
      <c r="C31" s="167"/>
      <c r="D31" s="16">
        <v>2020</v>
      </c>
      <c r="E31" s="49">
        <f t="shared" si="2"/>
        <v>0</v>
      </c>
      <c r="F31" s="49"/>
      <c r="G31" s="50">
        <f t="shared" si="3"/>
        <v>0</v>
      </c>
      <c r="H31" s="51"/>
      <c r="I31" s="52">
        <v>0</v>
      </c>
      <c r="J31" s="52">
        <v>0</v>
      </c>
      <c r="K31" s="53"/>
      <c r="L31" s="13" t="s">
        <v>4</v>
      </c>
      <c r="M31" s="167"/>
    </row>
    <row r="32" spans="1:13" ht="24.75" customHeight="1">
      <c r="A32" s="175"/>
      <c r="B32" s="167"/>
      <c r="C32" s="167"/>
      <c r="D32" s="16">
        <v>2021</v>
      </c>
      <c r="E32" s="49">
        <f t="shared" si="2"/>
        <v>0</v>
      </c>
      <c r="F32" s="49"/>
      <c r="G32" s="50">
        <f t="shared" si="3"/>
        <v>0</v>
      </c>
      <c r="H32" s="51"/>
      <c r="I32" s="52">
        <v>0</v>
      </c>
      <c r="J32" s="52">
        <v>0</v>
      </c>
      <c r="K32" s="53"/>
      <c r="L32" s="13" t="s">
        <v>4</v>
      </c>
      <c r="M32" s="167"/>
    </row>
    <row r="33" spans="1:13" ht="24.75" customHeight="1">
      <c r="A33" s="175" t="s">
        <v>80</v>
      </c>
      <c r="B33" s="287" t="s">
        <v>81</v>
      </c>
      <c r="C33" s="287"/>
      <c r="D33" s="16">
        <v>2017</v>
      </c>
      <c r="E33" s="45">
        <f t="shared" si="2"/>
        <v>34.265</v>
      </c>
      <c r="F33" s="45"/>
      <c r="G33" s="47">
        <f t="shared" si="3"/>
        <v>0</v>
      </c>
      <c r="H33" s="47"/>
      <c r="I33" s="47">
        <v>0</v>
      </c>
      <c r="J33" s="47">
        <f>100-13.94-51.795</f>
        <v>34.265</v>
      </c>
      <c r="K33" s="54"/>
      <c r="L33" s="13" t="s">
        <v>3</v>
      </c>
      <c r="M33" s="167" t="s">
        <v>56</v>
      </c>
    </row>
    <row r="34" spans="1:13" ht="24.75" customHeight="1">
      <c r="A34" s="175"/>
      <c r="B34" s="287"/>
      <c r="C34" s="287"/>
      <c r="D34" s="207">
        <v>2018</v>
      </c>
      <c r="E34" s="209">
        <f>F34+G34+J34+K35</f>
        <v>22.85</v>
      </c>
      <c r="F34" s="209"/>
      <c r="G34" s="270">
        <f t="shared" si="3"/>
        <v>0</v>
      </c>
      <c r="H34" s="270"/>
      <c r="I34" s="270">
        <v>0</v>
      </c>
      <c r="J34" s="270">
        <f>5.5+9.25+8.1</f>
        <v>22.85</v>
      </c>
      <c r="K34" s="54"/>
      <c r="L34" s="271" t="s">
        <v>3</v>
      </c>
      <c r="M34" s="167"/>
    </row>
    <row r="35" spans="1:13" ht="24.75" customHeight="1">
      <c r="A35" s="175"/>
      <c r="B35" s="287"/>
      <c r="C35" s="287"/>
      <c r="D35" s="207"/>
      <c r="E35" s="209"/>
      <c r="F35" s="209"/>
      <c r="G35" s="270"/>
      <c r="H35" s="270"/>
      <c r="I35" s="270"/>
      <c r="J35" s="270"/>
      <c r="K35" s="54"/>
      <c r="L35" s="271"/>
      <c r="M35" s="167"/>
    </row>
    <row r="36" spans="1:13" ht="39" customHeight="1">
      <c r="A36" s="175"/>
      <c r="B36" s="287"/>
      <c r="C36" s="287"/>
      <c r="D36" s="16">
        <v>2019</v>
      </c>
      <c r="E36" s="45">
        <f aca="true" t="shared" si="4" ref="E36:E43">F36+G36+J36+K36</f>
        <v>22.85</v>
      </c>
      <c r="F36" s="47"/>
      <c r="G36" s="47">
        <f aca="true" t="shared" si="5" ref="G36:G43">H36+I36</f>
        <v>0</v>
      </c>
      <c r="H36" s="47"/>
      <c r="I36" s="47">
        <v>0</v>
      </c>
      <c r="J36" s="47">
        <v>22.85</v>
      </c>
      <c r="K36" s="55"/>
      <c r="L36" s="13" t="s">
        <v>3</v>
      </c>
      <c r="M36" s="167"/>
    </row>
    <row r="37" spans="1:13" ht="33" customHeight="1">
      <c r="A37" s="175"/>
      <c r="B37" s="287"/>
      <c r="C37" s="287"/>
      <c r="D37" s="16">
        <v>2020</v>
      </c>
      <c r="E37" s="45">
        <f>F37+G37+J37+K37</f>
        <v>0</v>
      </c>
      <c r="F37" s="47"/>
      <c r="G37" s="47">
        <f>H37+I37</f>
        <v>0</v>
      </c>
      <c r="H37" s="47"/>
      <c r="I37" s="47">
        <v>0</v>
      </c>
      <c r="J37" s="47">
        <v>0</v>
      </c>
      <c r="K37" s="55"/>
      <c r="L37" s="13" t="s">
        <v>3</v>
      </c>
      <c r="M37" s="44"/>
    </row>
    <row r="38" spans="1:13" ht="43.5" customHeight="1">
      <c r="A38" s="175"/>
      <c r="B38" s="287"/>
      <c r="C38" s="287"/>
      <c r="D38" s="16">
        <v>2021</v>
      </c>
      <c r="E38" s="45">
        <f t="shared" si="4"/>
        <v>0</v>
      </c>
      <c r="F38" s="47"/>
      <c r="G38" s="47">
        <f t="shared" si="5"/>
        <v>0</v>
      </c>
      <c r="H38" s="47"/>
      <c r="I38" s="47">
        <v>0</v>
      </c>
      <c r="J38" s="47">
        <v>0</v>
      </c>
      <c r="K38" s="55"/>
      <c r="L38" s="13" t="s">
        <v>3</v>
      </c>
      <c r="M38" s="44"/>
    </row>
    <row r="39" spans="1:13" ht="24.75" customHeight="1">
      <c r="A39" s="175" t="s">
        <v>82</v>
      </c>
      <c r="B39" s="167" t="s">
        <v>83</v>
      </c>
      <c r="C39" s="167"/>
      <c r="D39" s="16">
        <v>2017</v>
      </c>
      <c r="E39" s="45">
        <f t="shared" si="4"/>
        <v>65.3997</v>
      </c>
      <c r="F39" s="47"/>
      <c r="G39" s="47">
        <f t="shared" si="5"/>
        <v>0</v>
      </c>
      <c r="H39" s="46"/>
      <c r="I39" s="47">
        <v>0</v>
      </c>
      <c r="J39" s="47">
        <f>70-4.6003</f>
        <v>65.3997</v>
      </c>
      <c r="K39" s="48"/>
      <c r="L39" s="13" t="s">
        <v>5</v>
      </c>
      <c r="M39" s="167" t="s">
        <v>55</v>
      </c>
    </row>
    <row r="40" spans="1:13" ht="24.75" customHeight="1">
      <c r="A40" s="175"/>
      <c r="B40" s="167"/>
      <c r="C40" s="167"/>
      <c r="D40" s="16">
        <v>2018</v>
      </c>
      <c r="E40" s="45">
        <f t="shared" si="4"/>
        <v>60</v>
      </c>
      <c r="F40" s="47"/>
      <c r="G40" s="45">
        <f t="shared" si="5"/>
        <v>0</v>
      </c>
      <c r="H40" s="46"/>
      <c r="I40" s="47">
        <v>0</v>
      </c>
      <c r="J40" s="47">
        <v>60</v>
      </c>
      <c r="K40" s="48"/>
      <c r="L40" s="13" t="s">
        <v>5</v>
      </c>
      <c r="M40" s="167"/>
    </row>
    <row r="41" spans="1:13" ht="24.75" customHeight="1">
      <c r="A41" s="175"/>
      <c r="B41" s="167"/>
      <c r="C41" s="167"/>
      <c r="D41" s="16">
        <v>2019</v>
      </c>
      <c r="E41" s="45">
        <f t="shared" si="4"/>
        <v>60</v>
      </c>
      <c r="F41" s="47"/>
      <c r="G41" s="45">
        <f t="shared" si="5"/>
        <v>0</v>
      </c>
      <c r="H41" s="46"/>
      <c r="I41" s="47">
        <v>0</v>
      </c>
      <c r="J41" s="47">
        <v>60</v>
      </c>
      <c r="K41" s="48"/>
      <c r="L41" s="13" t="s">
        <v>5</v>
      </c>
      <c r="M41" s="167"/>
    </row>
    <row r="42" spans="1:13" ht="24.75" customHeight="1">
      <c r="A42" s="175"/>
      <c r="B42" s="167"/>
      <c r="C42" s="167"/>
      <c r="D42" s="16">
        <v>2020</v>
      </c>
      <c r="E42" s="45">
        <f>F42+G42+J42+K42</f>
        <v>0</v>
      </c>
      <c r="F42" s="47"/>
      <c r="G42" s="45">
        <f>H42+I42</f>
        <v>0</v>
      </c>
      <c r="H42" s="46"/>
      <c r="I42" s="47">
        <v>0</v>
      </c>
      <c r="J42" s="47">
        <v>0</v>
      </c>
      <c r="K42" s="48"/>
      <c r="L42" s="13" t="s">
        <v>5</v>
      </c>
      <c r="M42" s="167"/>
    </row>
    <row r="43" spans="1:13" ht="24.75" customHeight="1">
      <c r="A43" s="175"/>
      <c r="B43" s="167"/>
      <c r="C43" s="167"/>
      <c r="D43" s="16">
        <v>2021</v>
      </c>
      <c r="E43" s="45">
        <f t="shared" si="4"/>
        <v>0</v>
      </c>
      <c r="F43" s="47"/>
      <c r="G43" s="45">
        <f t="shared" si="5"/>
        <v>0</v>
      </c>
      <c r="H43" s="46"/>
      <c r="I43" s="47">
        <v>0</v>
      </c>
      <c r="J43" s="47">
        <v>0</v>
      </c>
      <c r="K43" s="48"/>
      <c r="L43" s="13" t="s">
        <v>5</v>
      </c>
      <c r="M43" s="167"/>
    </row>
    <row r="44" spans="1:13" ht="24.75" customHeight="1">
      <c r="A44" s="175" t="s">
        <v>84</v>
      </c>
      <c r="B44" s="167" t="s">
        <v>85</v>
      </c>
      <c r="C44" s="167"/>
      <c r="D44" s="207">
        <v>2017</v>
      </c>
      <c r="E44" s="209">
        <f>F44+G44+J44+K44</f>
        <v>27.52</v>
      </c>
      <c r="F44" s="270"/>
      <c r="G44" s="302">
        <f>H44+I44</f>
        <v>0</v>
      </c>
      <c r="H44" s="209"/>
      <c r="I44" s="270">
        <v>0</v>
      </c>
      <c r="J44" s="270">
        <v>27.52</v>
      </c>
      <c r="K44" s="300"/>
      <c r="L44" s="289" t="s">
        <v>4</v>
      </c>
      <c r="M44" s="167" t="s">
        <v>54</v>
      </c>
    </row>
    <row r="45" spans="1:13" ht="4.5" customHeight="1">
      <c r="A45" s="175"/>
      <c r="B45" s="167"/>
      <c r="C45" s="167"/>
      <c r="D45" s="207"/>
      <c r="E45" s="209"/>
      <c r="F45" s="270"/>
      <c r="G45" s="303"/>
      <c r="H45" s="209"/>
      <c r="I45" s="270"/>
      <c r="J45" s="270"/>
      <c r="K45" s="301"/>
      <c r="L45" s="289"/>
      <c r="M45" s="167"/>
    </row>
    <row r="46" spans="1:13" ht="24.75" customHeight="1">
      <c r="A46" s="175"/>
      <c r="B46" s="167"/>
      <c r="C46" s="167"/>
      <c r="D46" s="16">
        <v>2018</v>
      </c>
      <c r="E46" s="45">
        <f aca="true" t="shared" si="6" ref="E46:E54">F46+G46+J46+K46</f>
        <v>28.369999999999997</v>
      </c>
      <c r="F46" s="47"/>
      <c r="G46" s="47">
        <f aca="true" t="shared" si="7" ref="G46:G54">H46+I46</f>
        <v>0</v>
      </c>
      <c r="H46" s="46"/>
      <c r="I46" s="47">
        <v>0</v>
      </c>
      <c r="J46" s="47">
        <f>70-41.63</f>
        <v>28.369999999999997</v>
      </c>
      <c r="K46" s="48"/>
      <c r="L46" s="18" t="s">
        <v>4</v>
      </c>
      <c r="M46" s="167"/>
    </row>
    <row r="47" spans="1:13" ht="24.75" customHeight="1">
      <c r="A47" s="175"/>
      <c r="B47" s="167"/>
      <c r="C47" s="167"/>
      <c r="D47" s="16">
        <v>2019</v>
      </c>
      <c r="E47" s="45">
        <f t="shared" si="6"/>
        <v>28.37</v>
      </c>
      <c r="F47" s="47"/>
      <c r="G47" s="47">
        <f t="shared" si="7"/>
        <v>0</v>
      </c>
      <c r="H47" s="46"/>
      <c r="I47" s="47">
        <v>0</v>
      </c>
      <c r="J47" s="47">
        <v>28.37</v>
      </c>
      <c r="K47" s="48"/>
      <c r="L47" s="18" t="s">
        <v>4</v>
      </c>
      <c r="M47" s="167"/>
    </row>
    <row r="48" spans="1:13" ht="24.75" customHeight="1">
      <c r="A48" s="175"/>
      <c r="B48" s="167"/>
      <c r="C48" s="167"/>
      <c r="D48" s="16">
        <v>2020</v>
      </c>
      <c r="E48" s="45">
        <f t="shared" si="6"/>
        <v>0</v>
      </c>
      <c r="F48" s="47"/>
      <c r="G48" s="47">
        <f t="shared" si="7"/>
        <v>0</v>
      </c>
      <c r="H48" s="46"/>
      <c r="I48" s="47">
        <v>0</v>
      </c>
      <c r="J48" s="47">
        <v>0</v>
      </c>
      <c r="K48" s="48"/>
      <c r="L48" s="18" t="s">
        <v>4</v>
      </c>
      <c r="M48" s="167"/>
    </row>
    <row r="49" spans="1:13" ht="24.75" customHeight="1">
      <c r="A49" s="175"/>
      <c r="B49" s="167"/>
      <c r="C49" s="167"/>
      <c r="D49" s="16">
        <v>2021</v>
      </c>
      <c r="E49" s="45">
        <f t="shared" si="6"/>
        <v>0</v>
      </c>
      <c r="F49" s="47"/>
      <c r="G49" s="47">
        <f t="shared" si="7"/>
        <v>0</v>
      </c>
      <c r="H49" s="46"/>
      <c r="I49" s="47">
        <v>0</v>
      </c>
      <c r="J49" s="47">
        <v>0</v>
      </c>
      <c r="K49" s="48"/>
      <c r="L49" s="18" t="s">
        <v>4</v>
      </c>
      <c r="M49" s="167"/>
    </row>
    <row r="50" spans="1:13" ht="24.75" customHeight="1">
      <c r="A50" s="175" t="s">
        <v>86</v>
      </c>
      <c r="B50" s="244" t="s">
        <v>87</v>
      </c>
      <c r="C50" s="244"/>
      <c r="D50" s="16">
        <v>2017</v>
      </c>
      <c r="E50" s="45">
        <f t="shared" si="6"/>
        <v>50</v>
      </c>
      <c r="F50" s="47"/>
      <c r="G50" s="47">
        <f t="shared" si="7"/>
        <v>50</v>
      </c>
      <c r="H50" s="57"/>
      <c r="I50" s="31">
        <v>50</v>
      </c>
      <c r="J50" s="47">
        <v>0</v>
      </c>
      <c r="K50" s="58"/>
      <c r="L50" s="13" t="s">
        <v>36</v>
      </c>
      <c r="M50" s="167" t="s">
        <v>53</v>
      </c>
    </row>
    <row r="51" spans="1:13" ht="24.75" customHeight="1">
      <c r="A51" s="175"/>
      <c r="B51" s="244"/>
      <c r="C51" s="244"/>
      <c r="D51" s="16">
        <v>2018</v>
      </c>
      <c r="E51" s="45">
        <f t="shared" si="6"/>
        <v>0</v>
      </c>
      <c r="F51" s="47"/>
      <c r="G51" s="47">
        <f t="shared" si="7"/>
        <v>0</v>
      </c>
      <c r="H51" s="47"/>
      <c r="I51" s="47">
        <v>0</v>
      </c>
      <c r="J51" s="47">
        <v>0</v>
      </c>
      <c r="K51" s="58"/>
      <c r="L51" s="13"/>
      <c r="M51" s="167"/>
    </row>
    <row r="52" spans="1:13" ht="24.75" customHeight="1">
      <c r="A52" s="175"/>
      <c r="B52" s="244"/>
      <c r="C52" s="244"/>
      <c r="D52" s="16">
        <v>2019</v>
      </c>
      <c r="E52" s="45">
        <f t="shared" si="6"/>
        <v>0</v>
      </c>
      <c r="F52" s="47"/>
      <c r="G52" s="47">
        <f t="shared" si="7"/>
        <v>0</v>
      </c>
      <c r="H52" s="47"/>
      <c r="I52" s="47">
        <v>0</v>
      </c>
      <c r="J52" s="47">
        <v>0</v>
      </c>
      <c r="K52" s="58"/>
      <c r="L52" s="13"/>
      <c r="M52" s="167"/>
    </row>
    <row r="53" spans="1:13" ht="24.75" customHeight="1">
      <c r="A53" s="175"/>
      <c r="B53" s="244"/>
      <c r="C53" s="244"/>
      <c r="D53" s="16">
        <v>2020</v>
      </c>
      <c r="E53" s="45">
        <f>F53+G53+J53+K53</f>
        <v>0</v>
      </c>
      <c r="F53" s="47"/>
      <c r="G53" s="47">
        <f>H53+I53</f>
        <v>0</v>
      </c>
      <c r="H53" s="47"/>
      <c r="I53" s="47">
        <v>0</v>
      </c>
      <c r="J53" s="47">
        <v>0</v>
      </c>
      <c r="K53" s="58"/>
      <c r="L53" s="13"/>
      <c r="M53" s="167"/>
    </row>
    <row r="54" spans="1:13" ht="24.75" customHeight="1">
      <c r="A54" s="175"/>
      <c r="B54" s="244"/>
      <c r="C54" s="244"/>
      <c r="D54" s="16">
        <v>2021</v>
      </c>
      <c r="E54" s="45">
        <f t="shared" si="6"/>
        <v>0</v>
      </c>
      <c r="F54" s="47"/>
      <c r="G54" s="47">
        <f t="shared" si="7"/>
        <v>0</v>
      </c>
      <c r="H54" s="47"/>
      <c r="I54" s="47">
        <v>0</v>
      </c>
      <c r="J54" s="47">
        <v>0</v>
      </c>
      <c r="K54" s="58"/>
      <c r="L54" s="13"/>
      <c r="M54" s="167"/>
    </row>
    <row r="55" spans="1:13" ht="24.75" customHeight="1">
      <c r="A55" s="248" t="s">
        <v>88</v>
      </c>
      <c r="B55" s="214" t="s">
        <v>89</v>
      </c>
      <c r="C55" s="202"/>
      <c r="D55" s="174">
        <v>2017</v>
      </c>
      <c r="E55" s="173">
        <f>F55+G55+J55+K55</f>
        <v>627.047</v>
      </c>
      <c r="F55" s="45"/>
      <c r="G55" s="45">
        <f aca="true" t="shared" si="8" ref="G55:G62">H55+I55</f>
        <v>0</v>
      </c>
      <c r="H55" s="32">
        <f>H56+H57+H58+H59+H60+H61</f>
        <v>0</v>
      </c>
      <c r="I55" s="45">
        <f>I56+I57+I58+I59+I60+I61</f>
        <v>0</v>
      </c>
      <c r="J55" s="45">
        <f>J56+J57+J58+J59+J60+J61</f>
        <v>627.047</v>
      </c>
      <c r="K55" s="45">
        <f>K56+K57+K58+K59+K60+K61</f>
        <v>0</v>
      </c>
      <c r="L55" s="13"/>
      <c r="M55" s="167" t="s">
        <v>69</v>
      </c>
    </row>
    <row r="56" spans="1:13" ht="64.5" customHeight="1">
      <c r="A56" s="304"/>
      <c r="B56" s="167"/>
      <c r="C56" s="215"/>
      <c r="D56" s="174"/>
      <c r="E56" s="173"/>
      <c r="F56" s="45"/>
      <c r="G56" s="45">
        <f t="shared" si="8"/>
        <v>0</v>
      </c>
      <c r="H56" s="45"/>
      <c r="I56" s="47"/>
      <c r="J56" s="47">
        <f>50+13.94</f>
        <v>63.94</v>
      </c>
      <c r="K56" s="48"/>
      <c r="L56" s="13" t="s">
        <v>10</v>
      </c>
      <c r="M56" s="167"/>
    </row>
    <row r="57" spans="1:13" ht="24.75" customHeight="1">
      <c r="A57" s="304"/>
      <c r="B57" s="167"/>
      <c r="C57" s="215"/>
      <c r="D57" s="174"/>
      <c r="E57" s="173"/>
      <c r="F57" s="45"/>
      <c r="G57" s="45">
        <f t="shared" si="8"/>
        <v>0</v>
      </c>
      <c r="H57" s="46"/>
      <c r="I57" s="47"/>
      <c r="J57" s="47">
        <v>113.23</v>
      </c>
      <c r="K57" s="48"/>
      <c r="L57" s="13" t="s">
        <v>16</v>
      </c>
      <c r="M57" s="167"/>
    </row>
    <row r="58" spans="1:13" ht="24.75" customHeight="1">
      <c r="A58" s="304"/>
      <c r="B58" s="167"/>
      <c r="C58" s="215"/>
      <c r="D58" s="174"/>
      <c r="E58" s="173"/>
      <c r="F58" s="45"/>
      <c r="G58" s="45">
        <f t="shared" si="8"/>
        <v>0</v>
      </c>
      <c r="H58" s="46"/>
      <c r="I58" s="47"/>
      <c r="J58" s="47">
        <v>205.427</v>
      </c>
      <c r="K58" s="48"/>
      <c r="L58" s="13" t="s">
        <v>24</v>
      </c>
      <c r="M58" s="167"/>
    </row>
    <row r="59" spans="1:13" ht="24.75" customHeight="1">
      <c r="A59" s="304"/>
      <c r="B59" s="167"/>
      <c r="C59" s="215"/>
      <c r="D59" s="174"/>
      <c r="E59" s="173"/>
      <c r="F59" s="45"/>
      <c r="G59" s="45">
        <f t="shared" si="8"/>
        <v>0</v>
      </c>
      <c r="H59" s="46"/>
      <c r="I59" s="47"/>
      <c r="J59" s="47">
        <v>13.23</v>
      </c>
      <c r="K59" s="48"/>
      <c r="L59" s="13" t="s">
        <v>13</v>
      </c>
      <c r="M59" s="167"/>
    </row>
    <row r="60" spans="1:13" ht="24.75" customHeight="1">
      <c r="A60" s="304"/>
      <c r="B60" s="167"/>
      <c r="C60" s="215"/>
      <c r="D60" s="174"/>
      <c r="E60" s="173"/>
      <c r="F60" s="45"/>
      <c r="G60" s="45">
        <f t="shared" si="8"/>
        <v>0</v>
      </c>
      <c r="H60" s="46"/>
      <c r="I60" s="47"/>
      <c r="J60" s="47">
        <v>161.09</v>
      </c>
      <c r="K60" s="48"/>
      <c r="L60" s="13" t="s">
        <v>25</v>
      </c>
      <c r="M60" s="167"/>
    </row>
    <row r="61" spans="1:13" ht="24.75" customHeight="1">
      <c r="A61" s="304"/>
      <c r="B61" s="167"/>
      <c r="C61" s="215"/>
      <c r="D61" s="174"/>
      <c r="E61" s="173"/>
      <c r="F61" s="45"/>
      <c r="G61" s="45">
        <f t="shared" si="8"/>
        <v>0</v>
      </c>
      <c r="H61" s="46"/>
      <c r="I61" s="47"/>
      <c r="J61" s="47">
        <f>15.18+18+36.45+0.5</f>
        <v>70.13</v>
      </c>
      <c r="K61" s="48"/>
      <c r="L61" s="13" t="s">
        <v>26</v>
      </c>
      <c r="M61" s="167"/>
    </row>
    <row r="62" spans="1:13" ht="24.75" customHeight="1">
      <c r="A62" s="304"/>
      <c r="B62" s="167"/>
      <c r="C62" s="215"/>
      <c r="D62" s="174">
        <v>2018</v>
      </c>
      <c r="E62" s="173">
        <f>F62+G62+J62+K62</f>
        <v>2781.9159799999998</v>
      </c>
      <c r="F62" s="29"/>
      <c r="G62" s="29">
        <f t="shared" si="8"/>
        <v>0</v>
      </c>
      <c r="H62" s="29">
        <f>H63+H64+H65+H66+H67+H68+H69</f>
        <v>0</v>
      </c>
      <c r="I62" s="29">
        <f>I63+I64+I65+I66+I67+I68+I69</f>
        <v>0</v>
      </c>
      <c r="J62" s="29">
        <f>J63+J64+J65+J66+J67+J68+J69</f>
        <v>2781.9159799999998</v>
      </c>
      <c r="K62" s="29">
        <f>K63+K64+K65+K66+K67+K68+K69</f>
        <v>0</v>
      </c>
      <c r="L62" s="13"/>
      <c r="M62" s="167"/>
    </row>
    <row r="63" spans="1:13" ht="62.25" customHeight="1">
      <c r="A63" s="304"/>
      <c r="B63" s="167"/>
      <c r="C63" s="215"/>
      <c r="D63" s="174"/>
      <c r="E63" s="173"/>
      <c r="F63" s="29"/>
      <c r="G63" s="12">
        <f aca="true" t="shared" si="9" ref="G63:G72">H63+I63</f>
        <v>0</v>
      </c>
      <c r="H63" s="29"/>
      <c r="I63" s="12"/>
      <c r="J63" s="12">
        <v>0</v>
      </c>
      <c r="K63" s="30"/>
      <c r="L63" s="13" t="s">
        <v>10</v>
      </c>
      <c r="M63" s="167"/>
    </row>
    <row r="64" spans="1:13" ht="24.75" customHeight="1">
      <c r="A64" s="304"/>
      <c r="B64" s="167"/>
      <c r="C64" s="215"/>
      <c r="D64" s="174"/>
      <c r="E64" s="173"/>
      <c r="F64" s="29"/>
      <c r="G64" s="12">
        <f t="shared" si="9"/>
        <v>0</v>
      </c>
      <c r="H64" s="29"/>
      <c r="I64" s="12"/>
      <c r="J64" s="12">
        <f>12.64+1186-181.18-36.69771</f>
        <v>980.76229</v>
      </c>
      <c r="K64" s="30"/>
      <c r="L64" s="13" t="s">
        <v>16</v>
      </c>
      <c r="M64" s="167"/>
    </row>
    <row r="65" spans="1:13" ht="24.75" customHeight="1">
      <c r="A65" s="304"/>
      <c r="B65" s="167"/>
      <c r="C65" s="215"/>
      <c r="D65" s="174"/>
      <c r="E65" s="173"/>
      <c r="F65" s="29"/>
      <c r="G65" s="12">
        <f t="shared" si="9"/>
        <v>0</v>
      </c>
      <c r="H65" s="29"/>
      <c r="I65" s="12"/>
      <c r="J65" s="12">
        <f>12.64+445+788.79-277.21131</f>
        <v>969.2186899999998</v>
      </c>
      <c r="K65" s="30"/>
      <c r="L65" s="13" t="s">
        <v>24</v>
      </c>
      <c r="M65" s="167"/>
    </row>
    <row r="66" spans="1:13" ht="24.75" customHeight="1">
      <c r="A66" s="304"/>
      <c r="B66" s="167"/>
      <c r="C66" s="215"/>
      <c r="D66" s="174"/>
      <c r="E66" s="173"/>
      <c r="F66" s="29"/>
      <c r="G66" s="12">
        <f t="shared" si="9"/>
        <v>0</v>
      </c>
      <c r="H66" s="29"/>
      <c r="I66" s="12"/>
      <c r="J66" s="12">
        <f>12.64+437.6-55.429</f>
        <v>394.81100000000004</v>
      </c>
      <c r="K66" s="30"/>
      <c r="L66" s="13" t="s">
        <v>13</v>
      </c>
      <c r="M66" s="167"/>
    </row>
    <row r="67" spans="1:13" ht="24.75" customHeight="1">
      <c r="A67" s="304"/>
      <c r="B67" s="167"/>
      <c r="C67" s="215"/>
      <c r="D67" s="174"/>
      <c r="E67" s="173"/>
      <c r="F67" s="29"/>
      <c r="G67" s="12">
        <f t="shared" si="9"/>
        <v>0</v>
      </c>
      <c r="H67" s="29"/>
      <c r="I67" s="12"/>
      <c r="J67" s="12">
        <f>30.36+107+120+26.184</f>
        <v>283.54400000000004</v>
      </c>
      <c r="K67" s="30"/>
      <c r="L67" s="13" t="s">
        <v>25</v>
      </c>
      <c r="M67" s="167"/>
    </row>
    <row r="68" spans="1:13" ht="24.75" customHeight="1">
      <c r="A68" s="304"/>
      <c r="B68" s="167"/>
      <c r="C68" s="215"/>
      <c r="D68" s="174"/>
      <c r="E68" s="173"/>
      <c r="F68" s="29"/>
      <c r="G68" s="12">
        <f t="shared" si="9"/>
        <v>0</v>
      </c>
      <c r="H68" s="29"/>
      <c r="I68" s="12"/>
      <c r="J68" s="12">
        <f>15.18+165-26.6</f>
        <v>153.58</v>
      </c>
      <c r="K68" s="30"/>
      <c r="L68" s="13" t="s">
        <v>26</v>
      </c>
      <c r="M68" s="167"/>
    </row>
    <row r="69" spans="1:13" ht="24.75" customHeight="1">
      <c r="A69" s="304"/>
      <c r="B69" s="167"/>
      <c r="C69" s="215"/>
      <c r="D69" s="174"/>
      <c r="E69" s="173"/>
      <c r="F69" s="29"/>
      <c r="G69" s="12">
        <f t="shared" si="9"/>
        <v>0</v>
      </c>
      <c r="H69" s="29"/>
      <c r="I69" s="12"/>
      <c r="J69" s="12">
        <v>0</v>
      </c>
      <c r="K69" s="30"/>
      <c r="L69" s="13" t="s">
        <v>49</v>
      </c>
      <c r="M69" s="167"/>
    </row>
    <row r="70" spans="1:13" ht="26.25" customHeight="1">
      <c r="A70" s="292"/>
      <c r="B70" s="198" t="s">
        <v>142</v>
      </c>
      <c r="C70" s="315"/>
      <c r="D70" s="174">
        <v>2019</v>
      </c>
      <c r="E70" s="173">
        <f>F70+G70+J70+K70</f>
        <v>83.46000000000001</v>
      </c>
      <c r="F70" s="29"/>
      <c r="G70" s="29">
        <f>H70+I70</f>
        <v>0</v>
      </c>
      <c r="H70" s="29">
        <f>H71+H72+H73+H74+H75+H76</f>
        <v>0</v>
      </c>
      <c r="I70" s="29">
        <f>I71+I72+I73+I74+I75+I76</f>
        <v>0</v>
      </c>
      <c r="J70" s="29">
        <f>J71+J72+J73+J74+J75+J76</f>
        <v>83.46000000000001</v>
      </c>
      <c r="K70" s="29">
        <f>K71+K72+K73+K74+K75+K76</f>
        <v>0</v>
      </c>
      <c r="L70" s="13"/>
      <c r="M70" s="167"/>
    </row>
    <row r="71" spans="1:13" ht="61.5" customHeight="1">
      <c r="A71" s="292"/>
      <c r="B71" s="200"/>
      <c r="C71" s="316"/>
      <c r="D71" s="174"/>
      <c r="E71" s="173"/>
      <c r="F71" s="29"/>
      <c r="G71" s="12">
        <f t="shared" si="9"/>
        <v>0</v>
      </c>
      <c r="H71" s="29"/>
      <c r="I71" s="12"/>
      <c r="J71" s="12">
        <v>0</v>
      </c>
      <c r="K71" s="30"/>
      <c r="L71" s="13" t="s">
        <v>10</v>
      </c>
      <c r="M71" s="167"/>
    </row>
    <row r="72" spans="1:13" ht="24.75" customHeight="1">
      <c r="A72" s="292"/>
      <c r="B72" s="200"/>
      <c r="C72" s="316"/>
      <c r="D72" s="174"/>
      <c r="E72" s="173"/>
      <c r="F72" s="29"/>
      <c r="G72" s="12">
        <f t="shared" si="9"/>
        <v>0</v>
      </c>
      <c r="H72" s="29"/>
      <c r="I72" s="12"/>
      <c r="J72" s="12">
        <v>12.64</v>
      </c>
      <c r="K72" s="30"/>
      <c r="L72" s="13" t="s">
        <v>16</v>
      </c>
      <c r="M72" s="167"/>
    </row>
    <row r="73" spans="1:13" ht="24.75" customHeight="1">
      <c r="A73" s="292"/>
      <c r="B73" s="200"/>
      <c r="C73" s="316"/>
      <c r="D73" s="174"/>
      <c r="E73" s="173"/>
      <c r="F73" s="29"/>
      <c r="G73" s="12">
        <f>H73+I73</f>
        <v>0</v>
      </c>
      <c r="H73" s="29"/>
      <c r="I73" s="12"/>
      <c r="J73" s="12">
        <v>12.64</v>
      </c>
      <c r="K73" s="30"/>
      <c r="L73" s="13" t="s">
        <v>24</v>
      </c>
      <c r="M73" s="167"/>
    </row>
    <row r="74" spans="1:13" ht="24.75" customHeight="1">
      <c r="A74" s="292"/>
      <c r="B74" s="200"/>
      <c r="C74" s="316"/>
      <c r="D74" s="174"/>
      <c r="E74" s="173"/>
      <c r="F74" s="29"/>
      <c r="G74" s="12">
        <f>H74+I74</f>
        <v>0</v>
      </c>
      <c r="H74" s="29"/>
      <c r="I74" s="12"/>
      <c r="J74" s="12">
        <v>12.64</v>
      </c>
      <c r="K74" s="30"/>
      <c r="L74" s="13" t="s">
        <v>13</v>
      </c>
      <c r="M74" s="167"/>
    </row>
    <row r="75" spans="1:13" ht="24.75" customHeight="1">
      <c r="A75" s="292"/>
      <c r="B75" s="200"/>
      <c r="C75" s="316"/>
      <c r="D75" s="174"/>
      <c r="E75" s="173"/>
      <c r="F75" s="29"/>
      <c r="G75" s="12">
        <f>H75+I75</f>
        <v>0</v>
      </c>
      <c r="H75" s="29"/>
      <c r="I75" s="12"/>
      <c r="J75" s="12">
        <v>30.36</v>
      </c>
      <c r="K75" s="30"/>
      <c r="L75" s="13" t="s">
        <v>25</v>
      </c>
      <c r="M75" s="167"/>
    </row>
    <row r="76" spans="1:13" ht="24.75" customHeight="1">
      <c r="A76" s="292"/>
      <c r="B76" s="202"/>
      <c r="C76" s="317"/>
      <c r="D76" s="174"/>
      <c r="E76" s="173"/>
      <c r="F76" s="29"/>
      <c r="G76" s="12">
        <f>H76+I76</f>
        <v>0</v>
      </c>
      <c r="H76" s="29"/>
      <c r="I76" s="12"/>
      <c r="J76" s="12">
        <v>15.18</v>
      </c>
      <c r="K76" s="30"/>
      <c r="L76" s="13" t="s">
        <v>26</v>
      </c>
      <c r="M76" s="167"/>
    </row>
    <row r="77" spans="1:13" ht="24.75" customHeight="1">
      <c r="A77" s="292"/>
      <c r="B77" s="198" t="s">
        <v>143</v>
      </c>
      <c r="C77" s="199"/>
      <c r="D77" s="305">
        <v>2019</v>
      </c>
      <c r="E77" s="173">
        <f>F77+G77+J77+K77</f>
        <v>47.04</v>
      </c>
      <c r="F77" s="29">
        <f>SUM(F78:F83)</f>
        <v>0</v>
      </c>
      <c r="G77" s="12">
        <f>H77+I77</f>
        <v>0</v>
      </c>
      <c r="H77" s="29">
        <f>SUM(H78:H83)</f>
        <v>0</v>
      </c>
      <c r="I77" s="29">
        <f>SUM(I78:I83)</f>
        <v>0</v>
      </c>
      <c r="J77" s="29">
        <f>SUM(J78:J83)</f>
        <v>47.04</v>
      </c>
      <c r="K77" s="60"/>
      <c r="L77" s="13"/>
      <c r="M77" s="167"/>
    </row>
    <row r="78" spans="1:13" ht="24.75" customHeight="1">
      <c r="A78" s="292"/>
      <c r="B78" s="200"/>
      <c r="C78" s="201"/>
      <c r="D78" s="306"/>
      <c r="E78" s="173"/>
      <c r="F78" s="29"/>
      <c r="G78" s="12">
        <f aca="true" t="shared" si="10" ref="G78:G83">H78+I78</f>
        <v>0</v>
      </c>
      <c r="H78" s="29"/>
      <c r="I78" s="12"/>
      <c r="J78" s="12">
        <v>4.5</v>
      </c>
      <c r="K78" s="30"/>
      <c r="L78" s="13" t="s">
        <v>144</v>
      </c>
      <c r="M78" s="167"/>
    </row>
    <row r="79" spans="1:13" ht="24.75" customHeight="1">
      <c r="A79" s="292"/>
      <c r="B79" s="200"/>
      <c r="C79" s="201"/>
      <c r="D79" s="306"/>
      <c r="E79" s="173"/>
      <c r="F79" s="29"/>
      <c r="G79" s="12">
        <f t="shared" si="10"/>
        <v>0</v>
      </c>
      <c r="H79" s="29"/>
      <c r="I79" s="12"/>
      <c r="J79" s="12">
        <v>6</v>
      </c>
      <c r="K79" s="30"/>
      <c r="L79" s="13" t="s">
        <v>145</v>
      </c>
      <c r="M79" s="167"/>
    </row>
    <row r="80" spans="1:13" ht="24.75" customHeight="1">
      <c r="A80" s="292"/>
      <c r="B80" s="200"/>
      <c r="C80" s="201"/>
      <c r="D80" s="306"/>
      <c r="E80" s="173"/>
      <c r="F80" s="29"/>
      <c r="G80" s="12">
        <f t="shared" si="10"/>
        <v>0</v>
      </c>
      <c r="H80" s="29"/>
      <c r="I80" s="12"/>
      <c r="J80" s="12">
        <v>4.5</v>
      </c>
      <c r="K80" s="30"/>
      <c r="L80" s="13" t="s">
        <v>146</v>
      </c>
      <c r="M80" s="167"/>
    </row>
    <row r="81" spans="1:13" ht="24.75" customHeight="1">
      <c r="A81" s="292"/>
      <c r="B81" s="200"/>
      <c r="C81" s="201"/>
      <c r="D81" s="306"/>
      <c r="E81" s="173"/>
      <c r="F81" s="29"/>
      <c r="G81" s="12">
        <f t="shared" si="10"/>
        <v>0</v>
      </c>
      <c r="H81" s="29"/>
      <c r="I81" s="12"/>
      <c r="J81" s="12">
        <v>20.04</v>
      </c>
      <c r="K81" s="30"/>
      <c r="L81" s="13" t="s">
        <v>49</v>
      </c>
      <c r="M81" s="167"/>
    </row>
    <row r="82" spans="1:13" ht="24.75" customHeight="1">
      <c r="A82" s="292"/>
      <c r="B82" s="200"/>
      <c r="C82" s="201"/>
      <c r="D82" s="306"/>
      <c r="E82" s="173"/>
      <c r="F82" s="29"/>
      <c r="G82" s="12">
        <f t="shared" si="10"/>
        <v>0</v>
      </c>
      <c r="H82" s="29"/>
      <c r="I82" s="12"/>
      <c r="J82" s="12">
        <v>12</v>
      </c>
      <c r="K82" s="30"/>
      <c r="L82" s="13" t="s">
        <v>3</v>
      </c>
      <c r="M82" s="167"/>
    </row>
    <row r="83" spans="1:13" ht="24.75" customHeight="1">
      <c r="A83" s="292"/>
      <c r="B83" s="200"/>
      <c r="C83" s="201"/>
      <c r="D83" s="307"/>
      <c r="E83" s="173"/>
      <c r="F83" s="29"/>
      <c r="G83" s="12">
        <f t="shared" si="10"/>
        <v>0</v>
      </c>
      <c r="H83" s="29"/>
      <c r="I83" s="12"/>
      <c r="J83" s="12"/>
      <c r="K83" s="30"/>
      <c r="L83" s="13"/>
      <c r="M83" s="167"/>
    </row>
    <row r="84" spans="1:13" ht="24.75" customHeight="1">
      <c r="A84" s="292"/>
      <c r="B84" s="290"/>
      <c r="C84" s="281"/>
      <c r="D84" s="174">
        <v>2020</v>
      </c>
      <c r="E84" s="173">
        <f>F84+G84+J84+K84</f>
        <v>0</v>
      </c>
      <c r="F84" s="45"/>
      <c r="G84" s="45">
        <f aca="true" t="shared" si="11" ref="G84:G90">H84+I84</f>
        <v>0</v>
      </c>
      <c r="H84" s="45">
        <f>H85+H86+H87+H88+H89+H90</f>
        <v>0</v>
      </c>
      <c r="I84" s="45">
        <f>I85+I86+I87+I88+I89+I90</f>
        <v>0</v>
      </c>
      <c r="J84" s="45">
        <f>J85+J86+J87+J88+J89+J90</f>
        <v>0</v>
      </c>
      <c r="K84" s="45">
        <f>K85+K86+K87+K88+K89+K90</f>
        <v>0</v>
      </c>
      <c r="L84" s="13"/>
      <c r="M84" s="167"/>
    </row>
    <row r="85" spans="1:13" ht="57.75" customHeight="1">
      <c r="A85" s="292"/>
      <c r="B85" s="290"/>
      <c r="C85" s="281"/>
      <c r="D85" s="174"/>
      <c r="E85" s="173"/>
      <c r="F85" s="45"/>
      <c r="G85" s="45">
        <f t="shared" si="11"/>
        <v>0</v>
      </c>
      <c r="H85" s="45"/>
      <c r="I85" s="47"/>
      <c r="J85" s="47">
        <v>0</v>
      </c>
      <c r="K85" s="56"/>
      <c r="L85" s="13" t="s">
        <v>10</v>
      </c>
      <c r="M85" s="167"/>
    </row>
    <row r="86" spans="1:13" ht="24.75" customHeight="1">
      <c r="A86" s="292"/>
      <c r="B86" s="290"/>
      <c r="C86" s="281"/>
      <c r="D86" s="174"/>
      <c r="E86" s="173"/>
      <c r="F86" s="45"/>
      <c r="G86" s="45">
        <f t="shared" si="11"/>
        <v>0</v>
      </c>
      <c r="H86" s="45"/>
      <c r="I86" s="47"/>
      <c r="J86" s="47">
        <v>0</v>
      </c>
      <c r="K86" s="56"/>
      <c r="L86" s="13" t="s">
        <v>16</v>
      </c>
      <c r="M86" s="167"/>
    </row>
    <row r="87" spans="1:13" ht="24.75" customHeight="1">
      <c r="A87" s="292"/>
      <c r="B87" s="290"/>
      <c r="C87" s="281"/>
      <c r="D87" s="174"/>
      <c r="E87" s="173"/>
      <c r="F87" s="45"/>
      <c r="G87" s="45">
        <f t="shared" si="11"/>
        <v>0</v>
      </c>
      <c r="H87" s="45"/>
      <c r="I87" s="47"/>
      <c r="J87" s="47">
        <v>0</v>
      </c>
      <c r="K87" s="56"/>
      <c r="L87" s="13" t="s">
        <v>24</v>
      </c>
      <c r="M87" s="167"/>
    </row>
    <row r="88" spans="1:13" ht="24.75" customHeight="1">
      <c r="A88" s="292"/>
      <c r="B88" s="290"/>
      <c r="C88" s="281"/>
      <c r="D88" s="174"/>
      <c r="E88" s="173"/>
      <c r="F88" s="45"/>
      <c r="G88" s="45">
        <f t="shared" si="11"/>
        <v>0</v>
      </c>
      <c r="H88" s="45"/>
      <c r="I88" s="47"/>
      <c r="J88" s="47">
        <v>0</v>
      </c>
      <c r="K88" s="56"/>
      <c r="L88" s="13" t="s">
        <v>13</v>
      </c>
      <c r="M88" s="167"/>
    </row>
    <row r="89" spans="1:13" ht="24.75" customHeight="1">
      <c r="A89" s="292"/>
      <c r="B89" s="290"/>
      <c r="C89" s="281"/>
      <c r="D89" s="174"/>
      <c r="E89" s="173"/>
      <c r="F89" s="45"/>
      <c r="G89" s="45">
        <f t="shared" si="11"/>
        <v>0</v>
      </c>
      <c r="H89" s="45"/>
      <c r="I89" s="47"/>
      <c r="J89" s="47">
        <v>0</v>
      </c>
      <c r="K89" s="56"/>
      <c r="L89" s="13" t="s">
        <v>25</v>
      </c>
      <c r="M89" s="167"/>
    </row>
    <row r="90" spans="1:13" ht="24.75" customHeight="1">
      <c r="A90" s="292"/>
      <c r="B90" s="290"/>
      <c r="C90" s="281"/>
      <c r="D90" s="174"/>
      <c r="E90" s="173"/>
      <c r="F90" s="45"/>
      <c r="G90" s="45">
        <f t="shared" si="11"/>
        <v>0</v>
      </c>
      <c r="H90" s="45"/>
      <c r="I90" s="47"/>
      <c r="J90" s="47">
        <v>0</v>
      </c>
      <c r="K90" s="56"/>
      <c r="L90" s="13" t="s">
        <v>26</v>
      </c>
      <c r="M90" s="167"/>
    </row>
    <row r="91" spans="1:13" ht="24.75" customHeight="1">
      <c r="A91" s="292"/>
      <c r="B91" s="290"/>
      <c r="C91" s="281"/>
      <c r="D91" s="174">
        <v>2021</v>
      </c>
      <c r="E91" s="173">
        <f>F91+G91+J91+K91</f>
        <v>0</v>
      </c>
      <c r="F91" s="45"/>
      <c r="G91" s="45">
        <f aca="true" t="shared" si="12" ref="G91:G97">H91+I91</f>
        <v>0</v>
      </c>
      <c r="H91" s="45">
        <f>H92+H93+H94+H95+H96+H97</f>
        <v>0</v>
      </c>
      <c r="I91" s="45">
        <f>I92+I93+I94+I95+I96+I97</f>
        <v>0</v>
      </c>
      <c r="J91" s="45">
        <f>J92+J93+J94+J95+J96+J97</f>
        <v>0</v>
      </c>
      <c r="K91" s="45">
        <f>K92+K93+K94+K95+K96+K97</f>
        <v>0</v>
      </c>
      <c r="L91" s="13"/>
      <c r="M91" s="167"/>
    </row>
    <row r="92" spans="1:13" ht="59.25" customHeight="1">
      <c r="A92" s="292"/>
      <c r="B92" s="290"/>
      <c r="C92" s="281"/>
      <c r="D92" s="174"/>
      <c r="E92" s="173"/>
      <c r="F92" s="45"/>
      <c r="G92" s="45">
        <f t="shared" si="12"/>
        <v>0</v>
      </c>
      <c r="H92" s="45"/>
      <c r="I92" s="47"/>
      <c r="J92" s="47">
        <v>0</v>
      </c>
      <c r="K92" s="56"/>
      <c r="L92" s="13" t="s">
        <v>10</v>
      </c>
      <c r="M92" s="167"/>
    </row>
    <row r="93" spans="1:13" ht="24.75" customHeight="1">
      <c r="A93" s="292"/>
      <c r="B93" s="290"/>
      <c r="C93" s="281"/>
      <c r="D93" s="174"/>
      <c r="E93" s="173"/>
      <c r="F93" s="45"/>
      <c r="G93" s="45">
        <f t="shared" si="12"/>
        <v>0</v>
      </c>
      <c r="H93" s="45"/>
      <c r="I93" s="47"/>
      <c r="J93" s="47">
        <v>0</v>
      </c>
      <c r="K93" s="56"/>
      <c r="L93" s="13" t="s">
        <v>16</v>
      </c>
      <c r="M93" s="167"/>
    </row>
    <row r="94" spans="1:13" ht="24.75" customHeight="1">
      <c r="A94" s="292"/>
      <c r="B94" s="290"/>
      <c r="C94" s="281"/>
      <c r="D94" s="174"/>
      <c r="E94" s="173"/>
      <c r="F94" s="45"/>
      <c r="G94" s="45">
        <f t="shared" si="12"/>
        <v>0</v>
      </c>
      <c r="H94" s="45"/>
      <c r="I94" s="47"/>
      <c r="J94" s="47">
        <v>0</v>
      </c>
      <c r="K94" s="56"/>
      <c r="L94" s="13" t="s">
        <v>24</v>
      </c>
      <c r="M94" s="167"/>
    </row>
    <row r="95" spans="1:13" ht="24.75" customHeight="1">
      <c r="A95" s="292"/>
      <c r="B95" s="290"/>
      <c r="C95" s="281"/>
      <c r="D95" s="174"/>
      <c r="E95" s="173"/>
      <c r="F95" s="45"/>
      <c r="G95" s="45">
        <f t="shared" si="12"/>
        <v>0</v>
      </c>
      <c r="H95" s="45"/>
      <c r="I95" s="47"/>
      <c r="J95" s="47">
        <v>0</v>
      </c>
      <c r="K95" s="56"/>
      <c r="L95" s="13" t="s">
        <v>13</v>
      </c>
      <c r="M95" s="167"/>
    </row>
    <row r="96" spans="1:13" ht="24.75" customHeight="1">
      <c r="A96" s="292"/>
      <c r="B96" s="290"/>
      <c r="C96" s="281"/>
      <c r="D96" s="174"/>
      <c r="E96" s="173"/>
      <c r="F96" s="45"/>
      <c r="G96" s="45">
        <f t="shared" si="12"/>
        <v>0</v>
      </c>
      <c r="H96" s="45"/>
      <c r="I96" s="47"/>
      <c r="J96" s="47">
        <v>0</v>
      </c>
      <c r="K96" s="56"/>
      <c r="L96" s="13" t="s">
        <v>25</v>
      </c>
      <c r="M96" s="167"/>
    </row>
    <row r="97" spans="1:13" ht="24.75" customHeight="1">
      <c r="A97" s="293"/>
      <c r="B97" s="291"/>
      <c r="C97" s="283"/>
      <c r="D97" s="174"/>
      <c r="E97" s="173"/>
      <c r="F97" s="45"/>
      <c r="G97" s="45">
        <f t="shared" si="12"/>
        <v>0</v>
      </c>
      <c r="H97" s="45"/>
      <c r="I97" s="47"/>
      <c r="J97" s="47">
        <v>0</v>
      </c>
      <c r="K97" s="56"/>
      <c r="L97" s="13" t="s">
        <v>26</v>
      </c>
      <c r="M97" s="167"/>
    </row>
    <row r="98" spans="1:13" ht="24.75" customHeight="1">
      <c r="A98" s="175" t="s">
        <v>90</v>
      </c>
      <c r="B98" s="198" t="s">
        <v>147</v>
      </c>
      <c r="C98" s="199"/>
      <c r="D98" s="65">
        <v>2017</v>
      </c>
      <c r="E98" s="45">
        <f aca="true" t="shared" si="13" ref="E98:E103">F98+G98+J98+K98</f>
        <v>169.78</v>
      </c>
      <c r="F98" s="45"/>
      <c r="G98" s="45">
        <f aca="true" t="shared" si="14" ref="G98:G103">H98+I98</f>
        <v>155.2</v>
      </c>
      <c r="H98" s="45"/>
      <c r="I98" s="45">
        <v>155.2</v>
      </c>
      <c r="J98" s="45">
        <f>15-0.42</f>
        <v>14.58</v>
      </c>
      <c r="K98" s="56"/>
      <c r="L98" s="13" t="s">
        <v>169</v>
      </c>
      <c r="M98" s="167" t="s">
        <v>60</v>
      </c>
    </row>
    <row r="99" spans="1:13" ht="24.75" customHeight="1">
      <c r="A99" s="175"/>
      <c r="B99" s="200"/>
      <c r="C99" s="201"/>
      <c r="D99" s="65">
        <v>2018</v>
      </c>
      <c r="E99" s="45">
        <f t="shared" si="13"/>
        <v>162.2</v>
      </c>
      <c r="F99" s="45"/>
      <c r="G99" s="45">
        <f t="shared" si="14"/>
        <v>162.2</v>
      </c>
      <c r="H99" s="45"/>
      <c r="I99" s="45">
        <v>162.2</v>
      </c>
      <c r="J99" s="47"/>
      <c r="K99" s="56"/>
      <c r="L99" s="13" t="s">
        <v>169</v>
      </c>
      <c r="M99" s="167"/>
    </row>
    <row r="100" spans="1:13" ht="24.75" customHeight="1">
      <c r="A100" s="175"/>
      <c r="B100" s="200"/>
      <c r="C100" s="201"/>
      <c r="D100" s="65">
        <v>2019</v>
      </c>
      <c r="E100" s="45">
        <f t="shared" si="13"/>
        <v>481.1</v>
      </c>
      <c r="F100" s="45"/>
      <c r="G100" s="45">
        <f t="shared" si="14"/>
        <v>481.1</v>
      </c>
      <c r="H100" s="45"/>
      <c r="I100" s="45">
        <v>481.1</v>
      </c>
      <c r="J100" s="47"/>
      <c r="K100" s="56"/>
      <c r="L100" s="13" t="s">
        <v>169</v>
      </c>
      <c r="M100" s="167"/>
    </row>
    <row r="101" spans="1:13" ht="24.75" customHeight="1">
      <c r="A101" s="175"/>
      <c r="B101" s="200"/>
      <c r="C101" s="201"/>
      <c r="D101" s="65">
        <v>2020</v>
      </c>
      <c r="E101" s="45">
        <f>F101+G101+J101+K101</f>
        <v>481.1</v>
      </c>
      <c r="F101" s="45"/>
      <c r="G101" s="45">
        <f t="shared" si="14"/>
        <v>481.1</v>
      </c>
      <c r="H101" s="45"/>
      <c r="I101" s="45">
        <v>481.1</v>
      </c>
      <c r="J101" s="47"/>
      <c r="K101" s="56"/>
      <c r="L101" s="13" t="s">
        <v>169</v>
      </c>
      <c r="M101" s="167"/>
    </row>
    <row r="102" spans="1:13" ht="24.75" customHeight="1">
      <c r="A102" s="175"/>
      <c r="B102" s="202"/>
      <c r="C102" s="203"/>
      <c r="D102" s="65">
        <v>2021</v>
      </c>
      <c r="E102" s="45">
        <f t="shared" si="13"/>
        <v>481.1</v>
      </c>
      <c r="F102" s="45"/>
      <c r="G102" s="45">
        <f t="shared" si="14"/>
        <v>481.1</v>
      </c>
      <c r="H102" s="45"/>
      <c r="I102" s="45">
        <v>481.1</v>
      </c>
      <c r="J102" s="47"/>
      <c r="K102" s="56"/>
      <c r="L102" s="13" t="s">
        <v>169</v>
      </c>
      <c r="M102" s="167"/>
    </row>
    <row r="103" spans="1:13" ht="71.25" customHeight="1">
      <c r="A103" s="80" t="s">
        <v>91</v>
      </c>
      <c r="B103" s="167" t="s">
        <v>92</v>
      </c>
      <c r="C103" s="167"/>
      <c r="D103" s="65">
        <v>2017</v>
      </c>
      <c r="E103" s="45">
        <f t="shared" si="13"/>
        <v>2375.768</v>
      </c>
      <c r="F103" s="45"/>
      <c r="G103" s="45">
        <f t="shared" si="14"/>
        <v>0</v>
      </c>
      <c r="H103" s="47"/>
      <c r="I103" s="47"/>
      <c r="J103" s="45">
        <v>2375.768</v>
      </c>
      <c r="K103" s="56"/>
      <c r="L103" s="13" t="s">
        <v>42</v>
      </c>
      <c r="M103" s="44" t="s">
        <v>66</v>
      </c>
    </row>
    <row r="104" spans="1:13" ht="49.5" customHeight="1">
      <c r="A104" s="80" t="s">
        <v>124</v>
      </c>
      <c r="B104" s="168"/>
      <c r="C104" s="169"/>
      <c r="D104" s="102">
        <v>2019</v>
      </c>
      <c r="E104" s="146"/>
      <c r="F104" s="146"/>
      <c r="G104" s="146"/>
      <c r="H104" s="146"/>
      <c r="I104" s="146"/>
      <c r="J104" s="146"/>
      <c r="K104" s="146"/>
      <c r="L104" s="147"/>
      <c r="M104" s="167" t="s">
        <v>178</v>
      </c>
    </row>
    <row r="105" spans="1:13" ht="48" customHeight="1">
      <c r="A105" s="80" t="s">
        <v>127</v>
      </c>
      <c r="B105" s="168"/>
      <c r="C105" s="169"/>
      <c r="D105" s="102">
        <v>2019</v>
      </c>
      <c r="E105" s="146"/>
      <c r="F105" s="146"/>
      <c r="G105" s="146"/>
      <c r="H105" s="146"/>
      <c r="I105" s="146"/>
      <c r="J105" s="146"/>
      <c r="K105" s="146"/>
      <c r="L105" s="147"/>
      <c r="M105" s="167"/>
    </row>
    <row r="106" spans="1:13" ht="42" customHeight="1" thickBot="1">
      <c r="A106" s="80"/>
      <c r="B106" s="254"/>
      <c r="C106" s="255"/>
      <c r="D106" s="65"/>
      <c r="E106" s="47">
        <f>F106+G106+J106+K106</f>
        <v>0</v>
      </c>
      <c r="F106" s="47"/>
      <c r="G106" s="31">
        <f>G107+G108</f>
        <v>0</v>
      </c>
      <c r="H106" s="47"/>
      <c r="I106" s="47"/>
      <c r="J106" s="47">
        <v>0</v>
      </c>
      <c r="K106" s="56"/>
      <c r="L106" s="13"/>
      <c r="M106" s="44"/>
    </row>
    <row r="107" spans="1:13" ht="33" customHeight="1" hidden="1" thickBot="1">
      <c r="A107" s="79"/>
      <c r="B107" s="208" t="s">
        <v>125</v>
      </c>
      <c r="C107" s="208"/>
      <c r="D107" s="65">
        <v>2017</v>
      </c>
      <c r="E107" s="29">
        <v>0</v>
      </c>
      <c r="F107" s="29"/>
      <c r="G107" s="29">
        <f aca="true" t="shared" si="15" ref="G107:G114">H107+I107</f>
        <v>0</v>
      </c>
      <c r="H107" s="12"/>
      <c r="I107" s="12">
        <f>I108+I109+I110+I111+I112</f>
        <v>0</v>
      </c>
      <c r="J107" s="12">
        <f>J108+J109+J110+J111+J112</f>
        <v>0</v>
      </c>
      <c r="K107" s="15"/>
      <c r="L107" s="13"/>
      <c r="M107" s="23"/>
    </row>
    <row r="108" spans="1:13" ht="31.5" customHeight="1" hidden="1" thickBot="1">
      <c r="A108" s="79"/>
      <c r="B108" s="208"/>
      <c r="C108" s="208"/>
      <c r="D108" s="65"/>
      <c r="E108" s="29"/>
      <c r="F108" s="29"/>
      <c r="G108" s="29">
        <f t="shared" si="15"/>
        <v>0</v>
      </c>
      <c r="H108" s="12"/>
      <c r="I108" s="12">
        <v>0</v>
      </c>
      <c r="J108" s="12">
        <v>0</v>
      </c>
      <c r="K108" s="15"/>
      <c r="L108" s="13" t="s">
        <v>16</v>
      </c>
      <c r="M108" s="23"/>
    </row>
    <row r="109" spans="1:13" ht="34.5" customHeight="1" hidden="1" thickBot="1">
      <c r="A109" s="79"/>
      <c r="B109" s="208"/>
      <c r="C109" s="208"/>
      <c r="D109" s="65"/>
      <c r="E109" s="29"/>
      <c r="F109" s="29"/>
      <c r="G109" s="29">
        <f t="shared" si="15"/>
        <v>0</v>
      </c>
      <c r="H109" s="12"/>
      <c r="I109" s="12">
        <v>0</v>
      </c>
      <c r="J109" s="12">
        <v>0</v>
      </c>
      <c r="K109" s="15"/>
      <c r="L109" s="13" t="s">
        <v>24</v>
      </c>
      <c r="M109" s="23"/>
    </row>
    <row r="110" spans="1:13" ht="31.5" customHeight="1" hidden="1" thickBot="1">
      <c r="A110" s="79"/>
      <c r="B110" s="208" t="s">
        <v>126</v>
      </c>
      <c r="C110" s="208"/>
      <c r="D110" s="65"/>
      <c r="E110" s="29"/>
      <c r="F110" s="29"/>
      <c r="G110" s="29">
        <f t="shared" si="15"/>
        <v>0</v>
      </c>
      <c r="H110" s="12"/>
      <c r="I110" s="12">
        <v>0</v>
      </c>
      <c r="J110" s="12">
        <v>0</v>
      </c>
      <c r="K110" s="15"/>
      <c r="L110" s="13" t="s">
        <v>13</v>
      </c>
      <c r="M110" s="23"/>
    </row>
    <row r="111" spans="1:13" ht="31.5" customHeight="1" hidden="1" thickBot="1">
      <c r="A111" s="79"/>
      <c r="B111" s="208"/>
      <c r="C111" s="208"/>
      <c r="D111" s="65"/>
      <c r="E111" s="29"/>
      <c r="F111" s="29"/>
      <c r="G111" s="29">
        <f t="shared" si="15"/>
        <v>0</v>
      </c>
      <c r="H111" s="12"/>
      <c r="I111" s="12">
        <v>0</v>
      </c>
      <c r="J111" s="12">
        <v>0</v>
      </c>
      <c r="K111" s="15"/>
      <c r="L111" s="13" t="s">
        <v>25</v>
      </c>
      <c r="M111" s="23"/>
    </row>
    <row r="112" spans="1:13" ht="12" customHeight="1" hidden="1" thickBot="1">
      <c r="A112" s="79"/>
      <c r="B112" s="208"/>
      <c r="C112" s="208"/>
      <c r="D112" s="65"/>
      <c r="E112" s="29"/>
      <c r="F112" s="29"/>
      <c r="G112" s="29">
        <f t="shared" si="15"/>
        <v>0</v>
      </c>
      <c r="H112" s="12"/>
      <c r="I112" s="12">
        <v>0</v>
      </c>
      <c r="J112" s="12">
        <v>0</v>
      </c>
      <c r="K112" s="15"/>
      <c r="L112" s="13" t="s">
        <v>37</v>
      </c>
      <c r="M112" s="23"/>
    </row>
    <row r="113" spans="1:13" ht="27.75" customHeight="1">
      <c r="A113" s="243"/>
      <c r="B113" s="239" t="s">
        <v>33</v>
      </c>
      <c r="C113" s="239"/>
      <c r="D113" s="66">
        <v>2017</v>
      </c>
      <c r="E113" s="45">
        <f>F113+G113+J113+K113</f>
        <v>3516.3419999999996</v>
      </c>
      <c r="F113" s="32"/>
      <c r="G113" s="45">
        <f t="shared" si="15"/>
        <v>205.2</v>
      </c>
      <c r="H113" s="45">
        <f>H98+H55+H50+H44+H33+H28+H22+H16</f>
        <v>0</v>
      </c>
      <c r="I113" s="45">
        <f>I98+I55+I50+I44+I33+I28+I22+I16</f>
        <v>205.2</v>
      </c>
      <c r="J113" s="45">
        <f>J16+J22+J28+J33+J39+J44+J55+J98+J103</f>
        <v>3311.142</v>
      </c>
      <c r="K113" s="56">
        <v>0</v>
      </c>
      <c r="L113" s="64"/>
      <c r="M113" s="260"/>
    </row>
    <row r="114" spans="1:13" ht="32.25" customHeight="1">
      <c r="A114" s="243"/>
      <c r="B114" s="239"/>
      <c r="C114" s="239"/>
      <c r="D114" s="66">
        <v>2018</v>
      </c>
      <c r="E114" s="45">
        <f>F114+G114+J114+K114</f>
        <v>3449.7360099999996</v>
      </c>
      <c r="F114" s="32"/>
      <c r="G114" s="45">
        <f t="shared" si="15"/>
        <v>162.2</v>
      </c>
      <c r="H114" s="45">
        <f>H18+H23+H29+H34+H40+H46+H51+H62+H99</f>
        <v>0</v>
      </c>
      <c r="I114" s="45">
        <f>I18+I23+I29+I34+I46+I51+I62+I99+I106</f>
        <v>162.2</v>
      </c>
      <c r="J114" s="45">
        <f>J18+J23+J29+J34+J46+J51+J62+J99+J106+J40</f>
        <v>3287.53601</v>
      </c>
      <c r="K114" s="56">
        <v>0</v>
      </c>
      <c r="L114" s="64"/>
      <c r="M114" s="261"/>
    </row>
    <row r="115" spans="1:13" ht="32.25" customHeight="1">
      <c r="A115" s="243"/>
      <c r="B115" s="239"/>
      <c r="C115" s="239"/>
      <c r="D115" s="66">
        <v>2019</v>
      </c>
      <c r="E115" s="45">
        <f aca="true" t="shared" si="16" ref="E115:J115">E100+E77+E70+E52+E47+E41+E36+E30+E27+E24+E19</f>
        <v>1086.6</v>
      </c>
      <c r="F115" s="45">
        <f t="shared" si="16"/>
        <v>0</v>
      </c>
      <c r="G115" s="45">
        <f t="shared" si="16"/>
        <v>481.1</v>
      </c>
      <c r="H115" s="45">
        <f t="shared" si="16"/>
        <v>0</v>
      </c>
      <c r="I115" s="45">
        <f t="shared" si="16"/>
        <v>481.1</v>
      </c>
      <c r="J115" s="45">
        <f t="shared" si="16"/>
        <v>605.5</v>
      </c>
      <c r="K115" s="45">
        <f>K19+K24+K30+K36+K41+K47+K70+K77+K100+K285+K288</f>
        <v>0</v>
      </c>
      <c r="L115" s="64"/>
      <c r="M115" s="261"/>
    </row>
    <row r="116" spans="1:13" ht="32.25" customHeight="1">
      <c r="A116" s="243"/>
      <c r="B116" s="239"/>
      <c r="C116" s="239"/>
      <c r="D116" s="66">
        <v>2020</v>
      </c>
      <c r="E116" s="45">
        <f>F116+G116+J116+K116</f>
        <v>481.1</v>
      </c>
      <c r="F116" s="32"/>
      <c r="G116" s="45">
        <f>G20+G25+G37+G42+G48+G53+G84+G101</f>
        <v>481.1</v>
      </c>
      <c r="H116" s="45">
        <f>H20+H25+H37+H42+H48+H53+H84+H101</f>
        <v>0</v>
      </c>
      <c r="I116" s="45">
        <f>I20+I25+I37+I42+I48+I53+I84+I101</f>
        <v>481.1</v>
      </c>
      <c r="J116" s="45">
        <f>J20+J25+J37+J42+J48+J53+J84+J101</f>
        <v>0</v>
      </c>
      <c r="K116" s="56">
        <v>0</v>
      </c>
      <c r="L116" s="64"/>
      <c r="M116" s="261"/>
    </row>
    <row r="117" spans="1:13" ht="29.25" customHeight="1">
      <c r="A117" s="243"/>
      <c r="B117" s="239"/>
      <c r="C117" s="239"/>
      <c r="D117" s="63">
        <v>2021</v>
      </c>
      <c r="E117" s="45">
        <f aca="true" t="shared" si="17" ref="E117:J117">E21+E26+E38+E43+E49+E54+E91+E102</f>
        <v>481.1</v>
      </c>
      <c r="F117" s="45">
        <f t="shared" si="17"/>
        <v>0</v>
      </c>
      <c r="G117" s="45">
        <f t="shared" si="17"/>
        <v>481.1</v>
      </c>
      <c r="H117" s="45">
        <f t="shared" si="17"/>
        <v>0</v>
      </c>
      <c r="I117" s="45">
        <f t="shared" si="17"/>
        <v>481.1</v>
      </c>
      <c r="J117" s="45">
        <f t="shared" si="17"/>
        <v>0</v>
      </c>
      <c r="K117" s="56">
        <v>0</v>
      </c>
      <c r="L117" s="64"/>
      <c r="M117" s="261"/>
    </row>
    <row r="118" spans="1:13" ht="29.25" customHeight="1">
      <c r="A118" s="314" t="s">
        <v>149</v>
      </c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9"/>
    </row>
    <row r="119" spans="1:13" ht="43.5" customHeight="1">
      <c r="A119" s="240" t="s">
        <v>150</v>
      </c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2"/>
    </row>
    <row r="120" spans="1:13" ht="106.5" customHeight="1">
      <c r="A120" s="240" t="s">
        <v>187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2"/>
    </row>
    <row r="121" spans="1:13" ht="27" customHeight="1">
      <c r="A121" s="240" t="s">
        <v>2</v>
      </c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  <c r="L121" s="241"/>
      <c r="M121" s="242"/>
    </row>
    <row r="122" spans="1:13" ht="37.5" customHeight="1">
      <c r="A122" s="248" t="s">
        <v>110</v>
      </c>
      <c r="B122" s="185" t="s">
        <v>170</v>
      </c>
      <c r="C122" s="21" t="s">
        <v>173</v>
      </c>
      <c r="D122" s="16">
        <v>2017</v>
      </c>
      <c r="E122" s="32">
        <f>F122+G122+J122+K122</f>
        <v>15500.856</v>
      </c>
      <c r="F122" s="31"/>
      <c r="G122" s="32">
        <f>H122+I122</f>
        <v>0</v>
      </c>
      <c r="H122" s="32"/>
      <c r="I122" s="32"/>
      <c r="J122" s="32">
        <f>J156+J157+J158+J159+J160+J162</f>
        <v>15500.856</v>
      </c>
      <c r="K122" s="33">
        <v>0</v>
      </c>
      <c r="L122" s="17" t="s">
        <v>39</v>
      </c>
      <c r="M122" s="167" t="s">
        <v>70</v>
      </c>
    </row>
    <row r="123" spans="1:13" ht="37.5" customHeight="1">
      <c r="A123" s="292"/>
      <c r="B123" s="186"/>
      <c r="C123" s="44" t="s">
        <v>151</v>
      </c>
      <c r="D123" s="67"/>
      <c r="E123" s="32">
        <f>F123+G123+J123+K123</f>
        <v>10933.428</v>
      </c>
      <c r="F123" s="31"/>
      <c r="G123" s="32">
        <f>H123+I123</f>
        <v>0</v>
      </c>
      <c r="H123" s="32"/>
      <c r="I123" s="32"/>
      <c r="J123" s="32">
        <f>J161</f>
        <v>10933.428</v>
      </c>
      <c r="K123" s="33">
        <v>0</v>
      </c>
      <c r="L123" s="17" t="s">
        <v>7</v>
      </c>
      <c r="M123" s="167"/>
    </row>
    <row r="124" spans="1:13" ht="37.5" customHeight="1">
      <c r="A124" s="292"/>
      <c r="B124" s="186"/>
      <c r="C124" s="21" t="s">
        <v>173</v>
      </c>
      <c r="D124" s="16">
        <v>2018</v>
      </c>
      <c r="E124" s="32">
        <f>F124+G124+J124+K124</f>
        <v>28543.359</v>
      </c>
      <c r="F124" s="32"/>
      <c r="G124" s="32">
        <f>H124+I124</f>
        <v>0</v>
      </c>
      <c r="H124" s="32">
        <v>0</v>
      </c>
      <c r="I124" s="32">
        <v>0</v>
      </c>
      <c r="J124" s="32">
        <f>SUM(J125:J138)</f>
        <v>28543.359</v>
      </c>
      <c r="K124" s="62">
        <v>0</v>
      </c>
      <c r="L124" s="17"/>
      <c r="M124" s="167"/>
    </row>
    <row r="125" spans="1:13" ht="24.75" customHeight="1">
      <c r="A125" s="292"/>
      <c r="B125" s="186"/>
      <c r="C125" s="21" t="s">
        <v>45</v>
      </c>
      <c r="D125" s="16"/>
      <c r="E125" s="32"/>
      <c r="F125" s="31"/>
      <c r="G125" s="31">
        <f aca="true" t="shared" si="18" ref="G125:G139">H125+I125</f>
        <v>0</v>
      </c>
      <c r="H125" s="31"/>
      <c r="I125" s="31"/>
      <c r="J125" s="31">
        <f>105.997+1553.242+30.82212-90.152</f>
        <v>1599.90912</v>
      </c>
      <c r="K125" s="33">
        <v>0</v>
      </c>
      <c r="L125" s="232" t="s">
        <v>7</v>
      </c>
      <c r="M125" s="167"/>
    </row>
    <row r="126" spans="1:13" ht="24.75" customHeight="1">
      <c r="A126" s="292"/>
      <c r="B126" s="186"/>
      <c r="C126" s="21" t="s">
        <v>118</v>
      </c>
      <c r="D126" s="16"/>
      <c r="E126" s="32"/>
      <c r="F126" s="31"/>
      <c r="G126" s="31">
        <f t="shared" si="18"/>
        <v>0</v>
      </c>
      <c r="H126" s="31"/>
      <c r="I126" s="31"/>
      <c r="J126" s="34">
        <f>2647.00046-137.31778-3.0355</f>
        <v>2506.6471800000004</v>
      </c>
      <c r="K126" s="33">
        <v>0</v>
      </c>
      <c r="L126" s="232"/>
      <c r="M126" s="167"/>
    </row>
    <row r="127" spans="1:13" ht="24.75" customHeight="1">
      <c r="A127" s="292"/>
      <c r="B127" s="186"/>
      <c r="C127" s="21" t="s">
        <v>120</v>
      </c>
      <c r="D127" s="16"/>
      <c r="E127" s="32"/>
      <c r="F127" s="31"/>
      <c r="G127" s="31">
        <f t="shared" si="18"/>
        <v>0</v>
      </c>
      <c r="H127" s="31"/>
      <c r="I127" s="31"/>
      <c r="J127" s="31">
        <f>19000-4993.27603+73.22078+64.097-230.15863</f>
        <v>13913.883119999999</v>
      </c>
      <c r="K127" s="33">
        <v>0</v>
      </c>
      <c r="L127" s="232"/>
      <c r="M127" s="167"/>
    </row>
    <row r="128" spans="1:13" ht="24.75" customHeight="1">
      <c r="A128" s="292"/>
      <c r="B128" s="186"/>
      <c r="C128" s="21" t="s">
        <v>46</v>
      </c>
      <c r="D128" s="16"/>
      <c r="E128" s="32"/>
      <c r="F128" s="31"/>
      <c r="G128" s="31">
        <f t="shared" si="18"/>
        <v>0</v>
      </c>
      <c r="H128" s="31"/>
      <c r="I128" s="31"/>
      <c r="J128" s="31">
        <f>620.082-142.882</f>
        <v>477.2</v>
      </c>
      <c r="K128" s="33">
        <v>0</v>
      </c>
      <c r="L128" s="232"/>
      <c r="M128" s="167"/>
    </row>
    <row r="129" spans="1:13" ht="24.75" customHeight="1">
      <c r="A129" s="292"/>
      <c r="B129" s="186"/>
      <c r="C129" s="21" t="s">
        <v>47</v>
      </c>
      <c r="D129" s="16"/>
      <c r="E129" s="32"/>
      <c r="F129" s="31"/>
      <c r="G129" s="31">
        <f t="shared" si="18"/>
        <v>0</v>
      </c>
      <c r="H129" s="31"/>
      <c r="I129" s="31"/>
      <c r="J129" s="31">
        <f>4446.112-526.952+1537.10326-314.81263</f>
        <v>5141.450629999999</v>
      </c>
      <c r="K129" s="33">
        <v>0</v>
      </c>
      <c r="L129" s="232"/>
      <c r="M129" s="167"/>
    </row>
    <row r="130" spans="1:13" ht="24.75" customHeight="1">
      <c r="A130" s="292"/>
      <c r="B130" s="186"/>
      <c r="C130" s="21" t="s">
        <v>48</v>
      </c>
      <c r="D130" s="16"/>
      <c r="E130" s="32"/>
      <c r="F130" s="31"/>
      <c r="G130" s="31">
        <f t="shared" si="18"/>
        <v>0</v>
      </c>
      <c r="H130" s="31"/>
      <c r="I130" s="31"/>
      <c r="J130" s="31">
        <f>115.226+847.899+0.168</f>
        <v>963.293</v>
      </c>
      <c r="K130" s="33">
        <v>0</v>
      </c>
      <c r="L130" s="232"/>
      <c r="M130" s="167"/>
    </row>
    <row r="131" spans="1:13" ht="24.75" customHeight="1">
      <c r="A131" s="292"/>
      <c r="B131" s="186"/>
      <c r="C131" s="21" t="s">
        <v>45</v>
      </c>
      <c r="D131" s="16"/>
      <c r="E131" s="32"/>
      <c r="F131" s="31"/>
      <c r="G131" s="31">
        <f t="shared" si="18"/>
        <v>0</v>
      </c>
      <c r="H131" s="31"/>
      <c r="I131" s="31"/>
      <c r="J131" s="31">
        <f>357.7+36.69771</f>
        <v>394.39770999999996</v>
      </c>
      <c r="K131" s="33">
        <v>0</v>
      </c>
      <c r="L131" s="18" t="s">
        <v>45</v>
      </c>
      <c r="M131" s="167"/>
    </row>
    <row r="132" spans="1:13" ht="24.75" customHeight="1">
      <c r="A132" s="292"/>
      <c r="B132" s="186"/>
      <c r="C132" s="21" t="s">
        <v>118</v>
      </c>
      <c r="D132" s="16"/>
      <c r="E132" s="32"/>
      <c r="F132" s="31"/>
      <c r="G132" s="31">
        <f t="shared" si="18"/>
        <v>0</v>
      </c>
      <c r="H132" s="31"/>
      <c r="I132" s="31"/>
      <c r="J132" s="31">
        <f>105.779+362.898-106.319</f>
        <v>362.358</v>
      </c>
      <c r="K132" s="33">
        <v>0</v>
      </c>
      <c r="L132" s="18" t="s">
        <v>118</v>
      </c>
      <c r="M132" s="167"/>
    </row>
    <row r="133" spans="1:13" ht="24.75" customHeight="1">
      <c r="A133" s="292"/>
      <c r="B133" s="186"/>
      <c r="C133" s="21" t="s">
        <v>46</v>
      </c>
      <c r="D133" s="16"/>
      <c r="E133" s="32"/>
      <c r="F133" s="31"/>
      <c r="G133" s="31">
        <f t="shared" si="18"/>
        <v>0</v>
      </c>
      <c r="H133" s="31"/>
      <c r="I133" s="31"/>
      <c r="J133" s="31">
        <v>0</v>
      </c>
      <c r="K133" s="33">
        <v>0</v>
      </c>
      <c r="L133" s="17"/>
      <c r="M133" s="167"/>
    </row>
    <row r="134" spans="1:13" ht="24.75" customHeight="1">
      <c r="A134" s="292"/>
      <c r="B134" s="186"/>
      <c r="C134" s="21" t="s">
        <v>47</v>
      </c>
      <c r="D134" s="16"/>
      <c r="E134" s="32"/>
      <c r="F134" s="31"/>
      <c r="G134" s="31">
        <f t="shared" si="18"/>
        <v>0</v>
      </c>
      <c r="H134" s="31"/>
      <c r="I134" s="31"/>
      <c r="J134" s="31">
        <f>196.448+30+275.818-26.184</f>
        <v>476.08199999999994</v>
      </c>
      <c r="K134" s="33">
        <v>0</v>
      </c>
      <c r="L134" s="17" t="s">
        <v>50</v>
      </c>
      <c r="M134" s="167"/>
    </row>
    <row r="135" spans="1:13" ht="24.75" customHeight="1">
      <c r="A135" s="292"/>
      <c r="B135" s="186"/>
      <c r="C135" s="21" t="s">
        <v>48</v>
      </c>
      <c r="D135" s="16"/>
      <c r="E135" s="32"/>
      <c r="F135" s="31"/>
      <c r="G135" s="31">
        <f t="shared" si="18"/>
        <v>0</v>
      </c>
      <c r="H135" s="31"/>
      <c r="I135" s="31"/>
      <c r="J135" s="31">
        <f>624.103+100+900+26.6</f>
        <v>1650.703</v>
      </c>
      <c r="K135" s="33">
        <v>0</v>
      </c>
      <c r="L135" s="17" t="s">
        <v>51</v>
      </c>
      <c r="M135" s="167"/>
    </row>
    <row r="136" spans="1:13" ht="24.75" customHeight="1">
      <c r="A136" s="292"/>
      <c r="B136" s="186"/>
      <c r="C136" s="21"/>
      <c r="D136" s="16"/>
      <c r="E136" s="32"/>
      <c r="F136" s="31"/>
      <c r="G136" s="31">
        <f>H136+I136</f>
        <v>0</v>
      </c>
      <c r="H136" s="31"/>
      <c r="I136" s="31"/>
      <c r="J136" s="31">
        <v>0</v>
      </c>
      <c r="K136" s="33">
        <v>0</v>
      </c>
      <c r="L136" s="17" t="s">
        <v>52</v>
      </c>
      <c r="M136" s="167"/>
    </row>
    <row r="137" spans="1:13" ht="24.75" customHeight="1">
      <c r="A137" s="292"/>
      <c r="B137" s="186"/>
      <c r="C137" s="21" t="s">
        <v>49</v>
      </c>
      <c r="D137" s="16"/>
      <c r="E137" s="32"/>
      <c r="F137" s="31"/>
      <c r="G137" s="31">
        <f t="shared" si="18"/>
        <v>0</v>
      </c>
      <c r="H137" s="31"/>
      <c r="I137" s="31"/>
      <c r="J137" s="31">
        <f>491.117-443.682+838.97984-0.0006</f>
        <v>886.41424</v>
      </c>
      <c r="K137" s="33">
        <v>0</v>
      </c>
      <c r="L137" s="17" t="s">
        <v>52</v>
      </c>
      <c r="M137" s="167"/>
    </row>
    <row r="138" spans="1:13" ht="24.75" customHeight="1">
      <c r="A138" s="292"/>
      <c r="B138" s="186"/>
      <c r="C138" s="21" t="s">
        <v>49</v>
      </c>
      <c r="D138" s="16"/>
      <c r="E138" s="32"/>
      <c r="F138" s="31"/>
      <c r="G138" s="31">
        <f t="shared" si="18"/>
        <v>0</v>
      </c>
      <c r="H138" s="31"/>
      <c r="I138" s="31"/>
      <c r="J138" s="81">
        <f>147.021+24</f>
        <v>171.021</v>
      </c>
      <c r="K138" s="33">
        <v>0</v>
      </c>
      <c r="L138" s="17" t="s">
        <v>122</v>
      </c>
      <c r="M138" s="167"/>
    </row>
    <row r="139" spans="1:13" ht="24.75" customHeight="1">
      <c r="A139" s="292"/>
      <c r="B139" s="186"/>
      <c r="C139" s="21"/>
      <c r="D139" s="16"/>
      <c r="E139" s="32"/>
      <c r="F139" s="31"/>
      <c r="G139" s="31">
        <f t="shared" si="18"/>
        <v>0</v>
      </c>
      <c r="H139" s="31"/>
      <c r="I139" s="31"/>
      <c r="J139" s="81">
        <v>0</v>
      </c>
      <c r="K139" s="33">
        <v>0</v>
      </c>
      <c r="L139" s="17"/>
      <c r="M139" s="167"/>
    </row>
    <row r="140" spans="1:13" ht="24.75" customHeight="1">
      <c r="A140" s="292"/>
      <c r="B140" s="186"/>
      <c r="C140" s="21"/>
      <c r="D140" s="16">
        <v>2019</v>
      </c>
      <c r="E140" s="32">
        <f>F140+G140+J140+K140</f>
        <v>32780.733</v>
      </c>
      <c r="F140" s="31"/>
      <c r="G140" s="31">
        <f>H140+I140</f>
        <v>0</v>
      </c>
      <c r="H140" s="31"/>
      <c r="I140" s="32"/>
      <c r="J140" s="32">
        <f>SUM(J141:J153)</f>
        <v>32780.733</v>
      </c>
      <c r="K140" s="33">
        <v>0</v>
      </c>
      <c r="L140" s="17" t="s">
        <v>7</v>
      </c>
      <c r="M140" s="167"/>
    </row>
    <row r="141" spans="1:13" ht="24.75" customHeight="1">
      <c r="A141" s="292"/>
      <c r="B141" s="186"/>
      <c r="C141" s="21" t="s">
        <v>144</v>
      </c>
      <c r="D141" s="16"/>
      <c r="E141" s="31">
        <f aca="true" t="shared" si="19" ref="E141:E153">F141+G141+J141+K141</f>
        <v>1350</v>
      </c>
      <c r="F141" s="31"/>
      <c r="G141" s="31">
        <f aca="true" t="shared" si="20" ref="G141:G153">H141+I141</f>
        <v>0</v>
      </c>
      <c r="H141" s="31"/>
      <c r="I141" s="32"/>
      <c r="J141" s="31">
        <v>1350</v>
      </c>
      <c r="K141" s="33">
        <v>0</v>
      </c>
      <c r="L141" s="144" t="s">
        <v>7</v>
      </c>
      <c r="M141" s="167"/>
    </row>
    <row r="142" spans="1:13" ht="24.75" customHeight="1">
      <c r="A142" s="292"/>
      <c r="B142" s="186"/>
      <c r="C142" s="21" t="s">
        <v>145</v>
      </c>
      <c r="D142" s="16"/>
      <c r="E142" s="31">
        <f t="shared" si="19"/>
        <v>25478.546</v>
      </c>
      <c r="F142" s="31"/>
      <c r="G142" s="31">
        <f t="shared" si="20"/>
        <v>0</v>
      </c>
      <c r="H142" s="31"/>
      <c r="I142" s="32"/>
      <c r="J142" s="31">
        <v>25478.546</v>
      </c>
      <c r="K142" s="33"/>
      <c r="L142" s="144" t="s">
        <v>7</v>
      </c>
      <c r="M142" s="167"/>
    </row>
    <row r="143" spans="1:13" ht="24.75" customHeight="1">
      <c r="A143" s="292"/>
      <c r="B143" s="186"/>
      <c r="C143" s="21" t="s">
        <v>146</v>
      </c>
      <c r="D143" s="16"/>
      <c r="E143" s="31">
        <f t="shared" si="19"/>
        <v>340.56899999999996</v>
      </c>
      <c r="F143" s="31"/>
      <c r="G143" s="31">
        <f t="shared" si="20"/>
        <v>0</v>
      </c>
      <c r="H143" s="31"/>
      <c r="I143" s="32"/>
      <c r="J143" s="31">
        <f>500-159.431</f>
        <v>340.56899999999996</v>
      </c>
      <c r="K143" s="33"/>
      <c r="L143" s="144" t="s">
        <v>7</v>
      </c>
      <c r="M143" s="167"/>
    </row>
    <row r="144" spans="1:13" ht="24.75" customHeight="1">
      <c r="A144" s="292"/>
      <c r="B144" s="186"/>
      <c r="C144" s="21" t="s">
        <v>117</v>
      </c>
      <c r="D144" s="16"/>
      <c r="E144" s="31">
        <f t="shared" si="19"/>
        <v>2929.0009999999997</v>
      </c>
      <c r="F144" s="31"/>
      <c r="G144" s="31">
        <f t="shared" si="20"/>
        <v>0</v>
      </c>
      <c r="H144" s="31"/>
      <c r="I144" s="32"/>
      <c r="J144" s="31">
        <f>3059.002-130.001</f>
        <v>2929.0009999999997</v>
      </c>
      <c r="K144" s="33"/>
      <c r="L144" s="144" t="s">
        <v>7</v>
      </c>
      <c r="M144" s="167"/>
    </row>
    <row r="145" spans="1:13" ht="24.75" customHeight="1">
      <c r="A145" s="292"/>
      <c r="B145" s="186"/>
      <c r="C145" s="21" t="s">
        <v>51</v>
      </c>
      <c r="D145" s="16"/>
      <c r="E145" s="31">
        <f t="shared" si="19"/>
        <v>856.396</v>
      </c>
      <c r="F145" s="31"/>
      <c r="G145" s="31">
        <f t="shared" si="20"/>
        <v>0</v>
      </c>
      <c r="H145" s="31"/>
      <c r="I145" s="32"/>
      <c r="J145" s="31">
        <f>1670-813.604</f>
        <v>856.396</v>
      </c>
      <c r="K145" s="33"/>
      <c r="L145" s="144" t="s">
        <v>7</v>
      </c>
      <c r="M145" s="167"/>
    </row>
    <row r="146" spans="1:13" ht="24.75" customHeight="1">
      <c r="A146" s="292"/>
      <c r="B146" s="186"/>
      <c r="C146" s="21"/>
      <c r="D146" s="16"/>
      <c r="E146" s="31">
        <f>F146+G146+J146+K146</f>
        <v>0</v>
      </c>
      <c r="F146" s="31"/>
      <c r="G146" s="31">
        <f>H146+I146</f>
        <v>0</v>
      </c>
      <c r="H146" s="31"/>
      <c r="I146" s="32"/>
      <c r="J146" s="31">
        <v>0</v>
      </c>
      <c r="K146" s="33"/>
      <c r="L146" s="144"/>
      <c r="M146" s="167"/>
    </row>
    <row r="147" spans="1:13" ht="24.75" customHeight="1">
      <c r="A147" s="292"/>
      <c r="B147" s="186"/>
      <c r="C147" s="21" t="s">
        <v>146</v>
      </c>
      <c r="D147" s="16"/>
      <c r="E147" s="31">
        <f t="shared" si="19"/>
        <v>159.431</v>
      </c>
      <c r="F147" s="31"/>
      <c r="G147" s="31">
        <f t="shared" si="20"/>
        <v>0</v>
      </c>
      <c r="H147" s="31"/>
      <c r="I147" s="32"/>
      <c r="J147" s="31">
        <v>159.431</v>
      </c>
      <c r="K147" s="33"/>
      <c r="L147" s="144" t="s">
        <v>146</v>
      </c>
      <c r="M147" s="167"/>
    </row>
    <row r="148" spans="1:13" ht="24.75" customHeight="1">
      <c r="A148" s="292"/>
      <c r="B148" s="186"/>
      <c r="C148" s="21" t="s">
        <v>117</v>
      </c>
      <c r="D148" s="16"/>
      <c r="E148" s="31">
        <f t="shared" si="19"/>
        <v>130.001</v>
      </c>
      <c r="F148" s="31"/>
      <c r="G148" s="31">
        <f t="shared" si="20"/>
        <v>0</v>
      </c>
      <c r="H148" s="31"/>
      <c r="I148" s="32"/>
      <c r="J148" s="31">
        <v>130.001</v>
      </c>
      <c r="K148" s="33"/>
      <c r="L148" s="144" t="s">
        <v>183</v>
      </c>
      <c r="M148" s="167"/>
    </row>
    <row r="149" spans="1:13" ht="24.75" customHeight="1">
      <c r="A149" s="292"/>
      <c r="B149" s="186"/>
      <c r="C149" s="21" t="s">
        <v>51</v>
      </c>
      <c r="D149" s="16"/>
      <c r="E149" s="31">
        <f t="shared" si="19"/>
        <v>1206.511</v>
      </c>
      <c r="F149" s="31"/>
      <c r="G149" s="31">
        <f t="shared" si="20"/>
        <v>0</v>
      </c>
      <c r="H149" s="31"/>
      <c r="I149" s="32"/>
      <c r="J149" s="31">
        <v>1206.511</v>
      </c>
      <c r="K149" s="33"/>
      <c r="L149" s="144" t="s">
        <v>182</v>
      </c>
      <c r="M149" s="167"/>
    </row>
    <row r="150" spans="1:13" ht="24.75" customHeight="1">
      <c r="A150" s="292"/>
      <c r="B150" s="186"/>
      <c r="C150" s="21"/>
      <c r="D150" s="16"/>
      <c r="E150" s="31">
        <f t="shared" si="19"/>
        <v>0</v>
      </c>
      <c r="F150" s="31"/>
      <c r="G150" s="31">
        <f t="shared" si="20"/>
        <v>0</v>
      </c>
      <c r="H150" s="31"/>
      <c r="I150" s="32"/>
      <c r="J150" s="31">
        <v>0</v>
      </c>
      <c r="K150" s="33"/>
      <c r="L150" s="144"/>
      <c r="M150" s="167"/>
    </row>
    <row r="151" spans="1:13" ht="24.75" customHeight="1">
      <c r="A151" s="292"/>
      <c r="B151" s="187"/>
      <c r="C151" s="21"/>
      <c r="D151" s="16"/>
      <c r="E151" s="31">
        <f t="shared" si="19"/>
        <v>0</v>
      </c>
      <c r="F151" s="31"/>
      <c r="G151" s="31">
        <f t="shared" si="20"/>
        <v>0</v>
      </c>
      <c r="H151" s="31"/>
      <c r="I151" s="32"/>
      <c r="J151" s="31">
        <v>0</v>
      </c>
      <c r="K151" s="33"/>
      <c r="L151" s="144"/>
      <c r="M151" s="167"/>
    </row>
    <row r="152" spans="1:13" ht="24.75" customHeight="1">
      <c r="A152" s="292"/>
      <c r="B152" s="145" t="s">
        <v>188</v>
      </c>
      <c r="C152" s="21" t="s">
        <v>122</v>
      </c>
      <c r="D152" s="16">
        <v>2019</v>
      </c>
      <c r="E152" s="31">
        <f t="shared" si="19"/>
        <v>330.278</v>
      </c>
      <c r="F152" s="31"/>
      <c r="G152" s="31">
        <f t="shared" si="20"/>
        <v>0</v>
      </c>
      <c r="H152" s="31"/>
      <c r="I152" s="31"/>
      <c r="J152" s="31">
        <v>330.278</v>
      </c>
      <c r="K152" s="33"/>
      <c r="L152" s="144" t="s">
        <v>189</v>
      </c>
      <c r="M152" s="167"/>
    </row>
    <row r="153" spans="1:13" ht="24.75" customHeight="1">
      <c r="A153" s="292"/>
      <c r="B153" s="182" t="s">
        <v>170</v>
      </c>
      <c r="C153" s="21"/>
      <c r="D153" s="16"/>
      <c r="E153" s="31">
        <f t="shared" si="19"/>
        <v>0</v>
      </c>
      <c r="F153" s="31"/>
      <c r="G153" s="31">
        <f t="shared" si="20"/>
        <v>0</v>
      </c>
      <c r="H153" s="31"/>
      <c r="I153" s="32"/>
      <c r="J153" s="31">
        <v>0</v>
      </c>
      <c r="K153" s="33"/>
      <c r="L153" s="144"/>
      <c r="M153" s="167"/>
    </row>
    <row r="154" spans="1:13" ht="24.75" customHeight="1">
      <c r="A154" s="292"/>
      <c r="B154" s="183"/>
      <c r="C154" s="21" t="s">
        <v>173</v>
      </c>
      <c r="D154" s="16">
        <v>2020</v>
      </c>
      <c r="E154" s="32">
        <f>F154+G154+J154+K154</f>
        <v>10524.1</v>
      </c>
      <c r="F154" s="31"/>
      <c r="G154" s="31">
        <f>H154+I154</f>
        <v>0</v>
      </c>
      <c r="H154" s="31"/>
      <c r="I154" s="32"/>
      <c r="J154" s="32">
        <v>10524.1</v>
      </c>
      <c r="K154" s="33">
        <v>0</v>
      </c>
      <c r="L154" s="17" t="s">
        <v>7</v>
      </c>
      <c r="M154" s="167"/>
    </row>
    <row r="155" spans="1:13" ht="24.75" customHeight="1">
      <c r="A155" s="293"/>
      <c r="B155" s="184"/>
      <c r="C155" s="21"/>
      <c r="D155" s="16">
        <v>2021</v>
      </c>
      <c r="E155" s="32">
        <f aca="true" t="shared" si="21" ref="E155:E170">F155+G155+J155+K155</f>
        <v>5471.6</v>
      </c>
      <c r="F155" s="31"/>
      <c r="G155" s="31">
        <f>H155+I155</f>
        <v>0</v>
      </c>
      <c r="H155" s="31"/>
      <c r="I155" s="32"/>
      <c r="J155" s="32">
        <v>5471.6</v>
      </c>
      <c r="K155" s="33">
        <v>0</v>
      </c>
      <c r="L155" s="17" t="s">
        <v>7</v>
      </c>
      <c r="M155" s="167"/>
    </row>
    <row r="156" spans="1:13" ht="24.75" customHeight="1">
      <c r="A156" s="175" t="s">
        <v>93</v>
      </c>
      <c r="B156" s="167" t="s">
        <v>152</v>
      </c>
      <c r="C156" s="21" t="s">
        <v>118</v>
      </c>
      <c r="D156" s="207">
        <v>2017</v>
      </c>
      <c r="E156" s="32">
        <f t="shared" si="21"/>
        <v>6400.301</v>
      </c>
      <c r="F156" s="31"/>
      <c r="G156" s="31">
        <f aca="true" t="shared" si="22" ref="G156:G162">H156+I156</f>
        <v>0</v>
      </c>
      <c r="H156" s="31"/>
      <c r="I156" s="32"/>
      <c r="J156" s="32">
        <v>6400.301</v>
      </c>
      <c r="K156" s="33">
        <v>0</v>
      </c>
      <c r="L156" s="17" t="s">
        <v>7</v>
      </c>
      <c r="M156" s="167"/>
    </row>
    <row r="157" spans="1:13" ht="24.75" customHeight="1">
      <c r="A157" s="175"/>
      <c r="B157" s="167"/>
      <c r="C157" s="21" t="s">
        <v>46</v>
      </c>
      <c r="D157" s="207"/>
      <c r="E157" s="32">
        <f t="shared" si="21"/>
        <v>1458.533</v>
      </c>
      <c r="F157" s="31"/>
      <c r="G157" s="31">
        <f t="shared" si="22"/>
        <v>0</v>
      </c>
      <c r="H157" s="31"/>
      <c r="I157" s="32"/>
      <c r="J157" s="32">
        <v>1458.533</v>
      </c>
      <c r="K157" s="33">
        <v>0</v>
      </c>
      <c r="L157" s="17" t="s">
        <v>3</v>
      </c>
      <c r="M157" s="167"/>
    </row>
    <row r="158" spans="1:13" ht="24.75" customHeight="1">
      <c r="A158" s="175" t="s">
        <v>94</v>
      </c>
      <c r="B158" s="167" t="s">
        <v>153</v>
      </c>
      <c r="C158" s="21" t="s">
        <v>47</v>
      </c>
      <c r="D158" s="174">
        <v>2017</v>
      </c>
      <c r="E158" s="32">
        <f t="shared" si="21"/>
        <v>2177.928</v>
      </c>
      <c r="F158" s="31"/>
      <c r="G158" s="36">
        <f t="shared" si="22"/>
        <v>0</v>
      </c>
      <c r="H158" s="36"/>
      <c r="I158" s="37"/>
      <c r="J158" s="37">
        <v>2177.928</v>
      </c>
      <c r="K158" s="38">
        <v>0</v>
      </c>
      <c r="L158" s="17" t="s">
        <v>7</v>
      </c>
      <c r="M158" s="167"/>
    </row>
    <row r="159" spans="1:13" ht="24.75" customHeight="1">
      <c r="A159" s="175"/>
      <c r="B159" s="167"/>
      <c r="C159" s="21" t="s">
        <v>48</v>
      </c>
      <c r="D159" s="174"/>
      <c r="E159" s="32">
        <f t="shared" si="21"/>
        <v>431.162</v>
      </c>
      <c r="F159" s="31"/>
      <c r="G159" s="36">
        <f t="shared" si="22"/>
        <v>0</v>
      </c>
      <c r="H159" s="36"/>
      <c r="I159" s="37"/>
      <c r="J159" s="37">
        <v>431.162</v>
      </c>
      <c r="K159" s="38">
        <v>0</v>
      </c>
      <c r="L159" s="17" t="s">
        <v>3</v>
      </c>
      <c r="M159" s="167"/>
    </row>
    <row r="160" spans="1:13" ht="24.75" customHeight="1">
      <c r="A160" s="175" t="s">
        <v>168</v>
      </c>
      <c r="B160" s="167" t="s">
        <v>95</v>
      </c>
      <c r="C160" s="21"/>
      <c r="D160" s="174">
        <v>2017</v>
      </c>
      <c r="E160" s="32">
        <f t="shared" si="21"/>
        <v>4135.29</v>
      </c>
      <c r="F160" s="31"/>
      <c r="G160" s="36">
        <f t="shared" si="22"/>
        <v>0</v>
      </c>
      <c r="H160" s="36"/>
      <c r="I160" s="37"/>
      <c r="J160" s="37">
        <v>4135.29</v>
      </c>
      <c r="K160" s="38">
        <v>0</v>
      </c>
      <c r="L160" s="232" t="s">
        <v>7</v>
      </c>
      <c r="M160" s="167"/>
    </row>
    <row r="161" spans="1:13" ht="24.75" customHeight="1">
      <c r="A161" s="175"/>
      <c r="B161" s="167"/>
      <c r="C161" s="21" t="s">
        <v>173</v>
      </c>
      <c r="D161" s="174"/>
      <c r="E161" s="32">
        <f t="shared" si="21"/>
        <v>10933.428</v>
      </c>
      <c r="F161" s="31"/>
      <c r="G161" s="36">
        <f t="shared" si="22"/>
        <v>0</v>
      </c>
      <c r="H161" s="36"/>
      <c r="I161" s="37"/>
      <c r="J161" s="37">
        <v>10933.428</v>
      </c>
      <c r="K161" s="38">
        <v>0</v>
      </c>
      <c r="L161" s="232"/>
      <c r="M161" s="167"/>
    </row>
    <row r="162" spans="1:13" ht="24.75" customHeight="1">
      <c r="A162" s="175"/>
      <c r="B162" s="167"/>
      <c r="C162" s="21" t="s">
        <v>173</v>
      </c>
      <c r="D162" s="174"/>
      <c r="E162" s="32">
        <f t="shared" si="21"/>
        <v>897.642</v>
      </c>
      <c r="F162" s="31"/>
      <c r="G162" s="36">
        <f t="shared" si="22"/>
        <v>0</v>
      </c>
      <c r="H162" s="36"/>
      <c r="I162" s="37"/>
      <c r="J162" s="37">
        <v>897.642</v>
      </c>
      <c r="K162" s="38">
        <v>0</v>
      </c>
      <c r="L162" s="17" t="s">
        <v>3</v>
      </c>
      <c r="M162" s="167"/>
    </row>
    <row r="163" spans="1:13" ht="24.75" customHeight="1">
      <c r="A163" s="175" t="s">
        <v>112</v>
      </c>
      <c r="B163" s="188" t="s">
        <v>113</v>
      </c>
      <c r="C163" s="77"/>
      <c r="D163" s="20">
        <v>2018</v>
      </c>
      <c r="E163" s="32">
        <f>F163+J163+K163</f>
        <v>1130.874</v>
      </c>
      <c r="F163" s="37">
        <f aca="true" t="shared" si="23" ref="F163:K163">SUM(F164:F170)</f>
        <v>0</v>
      </c>
      <c r="G163" s="37">
        <f t="shared" si="23"/>
        <v>0</v>
      </c>
      <c r="H163" s="37">
        <f t="shared" si="23"/>
        <v>0</v>
      </c>
      <c r="I163" s="37">
        <f t="shared" si="23"/>
        <v>0</v>
      </c>
      <c r="J163" s="37">
        <f t="shared" si="23"/>
        <v>1130.874</v>
      </c>
      <c r="K163" s="37">
        <f t="shared" si="23"/>
        <v>0</v>
      </c>
      <c r="L163" s="99"/>
      <c r="M163" s="44" t="s">
        <v>119</v>
      </c>
    </row>
    <row r="164" spans="1:13" ht="24.75" customHeight="1">
      <c r="A164" s="175"/>
      <c r="B164" s="231"/>
      <c r="C164" s="77"/>
      <c r="D164" s="61"/>
      <c r="E164" s="31">
        <f>F164+G164+J164+K164</f>
        <v>0</v>
      </c>
      <c r="F164" s="35"/>
      <c r="G164" s="36">
        <f aca="true" t="shared" si="24" ref="G164:G170">H164+I164</f>
        <v>0</v>
      </c>
      <c r="H164" s="37"/>
      <c r="I164" s="36">
        <v>0</v>
      </c>
      <c r="J164" s="36">
        <v>0</v>
      </c>
      <c r="K164" s="68"/>
      <c r="L164" s="99"/>
      <c r="M164" s="44"/>
    </row>
    <row r="165" spans="1:13" ht="24.75" customHeight="1">
      <c r="A165" s="175"/>
      <c r="B165" s="231"/>
      <c r="C165" s="77" t="s">
        <v>114</v>
      </c>
      <c r="D165" s="20"/>
      <c r="E165" s="31">
        <f t="shared" si="21"/>
        <v>32.401</v>
      </c>
      <c r="F165" s="35"/>
      <c r="G165" s="36">
        <f t="shared" si="24"/>
        <v>0</v>
      </c>
      <c r="H165" s="36"/>
      <c r="I165" s="37"/>
      <c r="J165" s="31">
        <f>24+9.98-1.579</f>
        <v>32.401</v>
      </c>
      <c r="K165" s="38"/>
      <c r="L165" s="17" t="s">
        <v>114</v>
      </c>
      <c r="M165" s="44"/>
    </row>
    <row r="166" spans="1:13" ht="24.75" customHeight="1">
      <c r="A166" s="175"/>
      <c r="B166" s="231"/>
      <c r="C166" s="77" t="s">
        <v>115</v>
      </c>
      <c r="D166" s="20"/>
      <c r="E166" s="31">
        <f t="shared" si="21"/>
        <v>202.33000000000004</v>
      </c>
      <c r="F166" s="35"/>
      <c r="G166" s="36">
        <f t="shared" si="24"/>
        <v>0</v>
      </c>
      <c r="H166" s="36"/>
      <c r="I166" s="37"/>
      <c r="J166" s="31">
        <f>304.8-99.63174-2.83826</f>
        <v>202.33000000000004</v>
      </c>
      <c r="K166" s="38"/>
      <c r="L166" s="17" t="s">
        <v>115</v>
      </c>
      <c r="M166" s="44"/>
    </row>
    <row r="167" spans="1:13" ht="24.75" customHeight="1">
      <c r="A167" s="175"/>
      <c r="B167" s="231"/>
      <c r="C167" s="77" t="s">
        <v>116</v>
      </c>
      <c r="D167" s="20"/>
      <c r="E167" s="31">
        <f t="shared" si="21"/>
        <v>193.929</v>
      </c>
      <c r="F167" s="35"/>
      <c r="G167" s="36">
        <f t="shared" si="24"/>
        <v>0</v>
      </c>
      <c r="H167" s="36"/>
      <c r="I167" s="37"/>
      <c r="J167" s="36">
        <f>138.5+55.429</f>
        <v>193.929</v>
      </c>
      <c r="K167" s="38"/>
      <c r="L167" s="17" t="s">
        <v>116</v>
      </c>
      <c r="M167" s="44"/>
    </row>
    <row r="168" spans="1:13" ht="24.75" customHeight="1">
      <c r="A168" s="175"/>
      <c r="B168" s="231"/>
      <c r="C168" s="77"/>
      <c r="D168" s="20"/>
      <c r="E168" s="31">
        <f t="shared" si="21"/>
        <v>522.2139999999999</v>
      </c>
      <c r="F168" s="35"/>
      <c r="G168" s="36">
        <f t="shared" si="24"/>
        <v>0</v>
      </c>
      <c r="H168" s="36"/>
      <c r="I168" s="37"/>
      <c r="J168" s="36">
        <f>874-134.152-30-249.634+62</f>
        <v>522.2139999999999</v>
      </c>
      <c r="K168" s="38"/>
      <c r="L168" s="17" t="s">
        <v>117</v>
      </c>
      <c r="M168" s="44"/>
    </row>
    <row r="169" spans="1:13" ht="24.75" customHeight="1">
      <c r="A169" s="175"/>
      <c r="B169" s="231"/>
      <c r="C169" s="77"/>
      <c r="D169" s="20"/>
      <c r="E169" s="31">
        <f t="shared" si="21"/>
        <v>40</v>
      </c>
      <c r="F169" s="35"/>
      <c r="G169" s="36">
        <f t="shared" si="24"/>
        <v>0</v>
      </c>
      <c r="H169" s="36"/>
      <c r="I169" s="37"/>
      <c r="J169" s="36">
        <f>100-60</f>
        <v>40</v>
      </c>
      <c r="K169" s="38"/>
      <c r="L169" s="17" t="s">
        <v>51</v>
      </c>
      <c r="M169" s="44"/>
    </row>
    <row r="170" spans="1:13" ht="24.75" customHeight="1">
      <c r="A170" s="175"/>
      <c r="B170" s="231"/>
      <c r="C170" s="19"/>
      <c r="D170" s="20"/>
      <c r="E170" s="31">
        <f t="shared" si="21"/>
        <v>140</v>
      </c>
      <c r="F170" s="35"/>
      <c r="G170" s="36">
        <f t="shared" si="24"/>
        <v>0</v>
      </c>
      <c r="H170" s="36"/>
      <c r="I170" s="37"/>
      <c r="J170" s="36">
        <f>165-25</f>
        <v>140</v>
      </c>
      <c r="K170" s="38"/>
      <c r="L170" s="17" t="s">
        <v>49</v>
      </c>
      <c r="M170" s="44"/>
    </row>
    <row r="171" spans="1:13" ht="26.25" customHeight="1">
      <c r="A171" s="175"/>
      <c r="B171" s="231"/>
      <c r="C171" s="21"/>
      <c r="D171" s="20">
        <v>2019</v>
      </c>
      <c r="E171" s="37">
        <f aca="true" t="shared" si="25" ref="E171:K171">SUM(E172:E174)</f>
        <v>468.651</v>
      </c>
      <c r="F171" s="37">
        <f t="shared" si="25"/>
        <v>0</v>
      </c>
      <c r="G171" s="37">
        <f t="shared" si="25"/>
        <v>0</v>
      </c>
      <c r="H171" s="37">
        <f t="shared" si="25"/>
        <v>0</v>
      </c>
      <c r="I171" s="37">
        <f t="shared" si="25"/>
        <v>0</v>
      </c>
      <c r="J171" s="37">
        <f t="shared" si="25"/>
        <v>468.651</v>
      </c>
      <c r="K171" s="37">
        <f t="shared" si="25"/>
        <v>0</v>
      </c>
      <c r="L171" s="17"/>
      <c r="M171" s="167"/>
    </row>
    <row r="172" spans="1:13" ht="33" customHeight="1">
      <c r="A172" s="175"/>
      <c r="B172" s="231"/>
      <c r="C172" s="77" t="s">
        <v>116</v>
      </c>
      <c r="D172" s="20"/>
      <c r="E172" s="36">
        <f>F172+G172+J172</f>
        <v>400</v>
      </c>
      <c r="F172" s="36"/>
      <c r="G172" s="36">
        <f>H172+I172</f>
        <v>0</v>
      </c>
      <c r="H172" s="36"/>
      <c r="I172" s="36"/>
      <c r="J172" s="36">
        <v>400</v>
      </c>
      <c r="K172" s="37"/>
      <c r="L172" s="17" t="s">
        <v>116</v>
      </c>
      <c r="M172" s="167"/>
    </row>
    <row r="173" spans="1:13" ht="33" customHeight="1">
      <c r="A173" s="175"/>
      <c r="B173" s="231"/>
      <c r="C173" s="21" t="s">
        <v>47</v>
      </c>
      <c r="D173" s="20"/>
      <c r="E173" s="36">
        <f>F173+G173+J173</f>
        <v>68.651</v>
      </c>
      <c r="F173" s="36"/>
      <c r="G173" s="36">
        <f>H173+I173</f>
        <v>0</v>
      </c>
      <c r="H173" s="36"/>
      <c r="I173" s="36"/>
      <c r="J173" s="36">
        <v>68.651</v>
      </c>
      <c r="K173" s="37"/>
      <c r="L173" s="17" t="s">
        <v>47</v>
      </c>
      <c r="M173" s="167"/>
    </row>
    <row r="174" spans="1:13" ht="33" customHeight="1">
      <c r="A174" s="175"/>
      <c r="B174" s="231"/>
      <c r="C174" s="21"/>
      <c r="D174" s="20"/>
      <c r="E174" s="36">
        <f>F174+G174+J174</f>
        <v>0</v>
      </c>
      <c r="F174" s="36"/>
      <c r="G174" s="36">
        <f>H174+I174</f>
        <v>0</v>
      </c>
      <c r="H174" s="36"/>
      <c r="I174" s="36"/>
      <c r="J174" s="36">
        <v>0</v>
      </c>
      <c r="K174" s="37"/>
      <c r="L174" s="17"/>
      <c r="M174" s="167"/>
    </row>
    <row r="175" spans="1:13" ht="36.75" customHeight="1">
      <c r="A175" s="175"/>
      <c r="B175" s="231"/>
      <c r="C175" s="21"/>
      <c r="D175" s="20">
        <v>2020</v>
      </c>
      <c r="E175" s="31">
        <f>F175+G175+K175</f>
        <v>0</v>
      </c>
      <c r="F175" s="31">
        <v>0</v>
      </c>
      <c r="G175" s="36">
        <v>0</v>
      </c>
      <c r="H175" s="35">
        <v>0</v>
      </c>
      <c r="I175" s="37">
        <v>0</v>
      </c>
      <c r="J175" s="36">
        <v>0</v>
      </c>
      <c r="K175" s="38">
        <v>0</v>
      </c>
      <c r="L175" s="17"/>
      <c r="M175" s="167"/>
    </row>
    <row r="176" spans="1:13" ht="35.25" customHeight="1">
      <c r="A176" s="175"/>
      <c r="B176" s="214"/>
      <c r="C176" s="21"/>
      <c r="D176" s="20">
        <v>2021</v>
      </c>
      <c r="E176" s="31">
        <f>F176+G176+K176</f>
        <v>0</v>
      </c>
      <c r="F176" s="35">
        <v>0</v>
      </c>
      <c r="G176" s="36">
        <f>H176+I176</f>
        <v>0</v>
      </c>
      <c r="H176" s="35">
        <v>0</v>
      </c>
      <c r="I176" s="36">
        <v>0</v>
      </c>
      <c r="J176" s="36">
        <v>0</v>
      </c>
      <c r="K176" s="38">
        <v>0</v>
      </c>
      <c r="L176" s="17"/>
      <c r="M176" s="167"/>
    </row>
    <row r="177" spans="1:13" ht="28.5" customHeight="1">
      <c r="A177" s="175" t="s">
        <v>130</v>
      </c>
      <c r="B177" s="167" t="s">
        <v>154</v>
      </c>
      <c r="C177" s="21"/>
      <c r="D177" s="20">
        <v>2019</v>
      </c>
      <c r="E177" s="37">
        <f aca="true" t="shared" si="26" ref="E177:K177">E180+E181+E182+E183+E184+E185+E186</f>
        <v>498</v>
      </c>
      <c r="F177" s="37">
        <f t="shared" si="26"/>
        <v>0</v>
      </c>
      <c r="G177" s="37">
        <f t="shared" si="26"/>
        <v>473</v>
      </c>
      <c r="H177" s="32">
        <f t="shared" si="26"/>
        <v>0</v>
      </c>
      <c r="I177" s="37">
        <f t="shared" si="26"/>
        <v>473</v>
      </c>
      <c r="J177" s="37">
        <f t="shared" si="26"/>
        <v>25</v>
      </c>
      <c r="K177" s="37">
        <f t="shared" si="26"/>
        <v>0</v>
      </c>
      <c r="L177" s="17"/>
      <c r="M177" s="44"/>
    </row>
    <row r="178" spans="1:13" ht="35.25" customHeight="1">
      <c r="A178" s="175"/>
      <c r="B178" s="167"/>
      <c r="C178" s="21"/>
      <c r="D178" s="20">
        <v>2020</v>
      </c>
      <c r="E178" s="31">
        <v>0</v>
      </c>
      <c r="F178" s="35">
        <v>0</v>
      </c>
      <c r="G178" s="36">
        <v>0</v>
      </c>
      <c r="H178" s="31">
        <v>0</v>
      </c>
      <c r="I178" s="36">
        <v>0</v>
      </c>
      <c r="J178" s="36">
        <v>0</v>
      </c>
      <c r="K178" s="33">
        <v>0</v>
      </c>
      <c r="L178" s="17"/>
      <c r="M178" s="44"/>
    </row>
    <row r="179" spans="1:13" ht="35.25" customHeight="1">
      <c r="A179" s="175"/>
      <c r="B179" s="167"/>
      <c r="C179" s="21"/>
      <c r="D179" s="20">
        <v>2021</v>
      </c>
      <c r="E179" s="31">
        <v>0</v>
      </c>
      <c r="F179" s="35">
        <v>0</v>
      </c>
      <c r="G179" s="36">
        <v>0</v>
      </c>
      <c r="H179" s="31">
        <v>0</v>
      </c>
      <c r="I179" s="36">
        <v>0</v>
      </c>
      <c r="J179" s="36">
        <v>0</v>
      </c>
      <c r="K179" s="33">
        <v>0</v>
      </c>
      <c r="L179" s="17"/>
      <c r="M179" s="44"/>
    </row>
    <row r="180" spans="1:13" ht="36.75" customHeight="1">
      <c r="A180" s="175" t="s">
        <v>129</v>
      </c>
      <c r="B180" s="167" t="s">
        <v>158</v>
      </c>
      <c r="C180" s="18" t="s">
        <v>47</v>
      </c>
      <c r="D180" s="11">
        <v>2019</v>
      </c>
      <c r="E180" s="31">
        <f aca="true" t="shared" si="27" ref="E180:E191">F180+G180+J180+K180</f>
        <v>20</v>
      </c>
      <c r="F180" s="31"/>
      <c r="G180" s="31">
        <f>H180+I180</f>
        <v>20</v>
      </c>
      <c r="H180" s="31"/>
      <c r="I180" s="31">
        <v>20</v>
      </c>
      <c r="J180" s="31">
        <v>0</v>
      </c>
      <c r="K180" s="33">
        <v>0</v>
      </c>
      <c r="L180" s="17" t="s">
        <v>117</v>
      </c>
      <c r="M180" s="167"/>
    </row>
    <row r="181" spans="1:13" ht="37.5" customHeight="1">
      <c r="A181" s="175"/>
      <c r="B181" s="167"/>
      <c r="C181" s="18" t="s">
        <v>48</v>
      </c>
      <c r="D181" s="11">
        <v>2019</v>
      </c>
      <c r="E181" s="31">
        <f t="shared" si="27"/>
        <v>15.4</v>
      </c>
      <c r="F181" s="31"/>
      <c r="G181" s="31">
        <f aca="true" t="shared" si="28" ref="G181:G186">H181+I181</f>
        <v>15.4</v>
      </c>
      <c r="H181" s="31"/>
      <c r="I181" s="31">
        <v>15.4</v>
      </c>
      <c r="J181" s="31">
        <v>0</v>
      </c>
      <c r="K181" s="33">
        <v>0</v>
      </c>
      <c r="L181" s="17" t="s">
        <v>51</v>
      </c>
      <c r="M181" s="167"/>
    </row>
    <row r="182" spans="1:13" ht="120.75" customHeight="1">
      <c r="A182" s="80" t="s">
        <v>131</v>
      </c>
      <c r="B182" s="44" t="s">
        <v>155</v>
      </c>
      <c r="C182" s="18" t="s">
        <v>47</v>
      </c>
      <c r="D182" s="11">
        <v>2019</v>
      </c>
      <c r="E182" s="31">
        <f t="shared" si="27"/>
        <v>100</v>
      </c>
      <c r="F182" s="31"/>
      <c r="G182" s="31">
        <f t="shared" si="28"/>
        <v>100</v>
      </c>
      <c r="H182" s="31"/>
      <c r="I182" s="31">
        <v>100</v>
      </c>
      <c r="J182" s="31">
        <v>0</v>
      </c>
      <c r="K182" s="33">
        <v>0</v>
      </c>
      <c r="L182" s="17" t="s">
        <v>117</v>
      </c>
      <c r="M182" s="44" t="s">
        <v>138</v>
      </c>
    </row>
    <row r="183" spans="1:13" ht="96" customHeight="1">
      <c r="A183" s="80" t="s">
        <v>132</v>
      </c>
      <c r="B183" s="44" t="s">
        <v>157</v>
      </c>
      <c r="C183" s="18" t="s">
        <v>47</v>
      </c>
      <c r="D183" s="11">
        <v>2019</v>
      </c>
      <c r="E183" s="31">
        <f t="shared" si="27"/>
        <v>110.057</v>
      </c>
      <c r="F183" s="31"/>
      <c r="G183" s="31">
        <f t="shared" si="28"/>
        <v>110.057</v>
      </c>
      <c r="H183" s="31"/>
      <c r="I183" s="31">
        <v>110.057</v>
      </c>
      <c r="J183" s="31">
        <v>0</v>
      </c>
      <c r="K183" s="33">
        <v>0</v>
      </c>
      <c r="L183" s="17" t="s">
        <v>117</v>
      </c>
      <c r="M183" s="167" t="s">
        <v>139</v>
      </c>
    </row>
    <row r="184" spans="1:13" ht="105.75" customHeight="1">
      <c r="A184" s="175" t="s">
        <v>133</v>
      </c>
      <c r="B184" s="44" t="s">
        <v>134</v>
      </c>
      <c r="C184" s="18" t="s">
        <v>47</v>
      </c>
      <c r="D184" s="11">
        <v>2019</v>
      </c>
      <c r="E184" s="31">
        <f t="shared" si="27"/>
        <v>99.52199999999999</v>
      </c>
      <c r="F184" s="31"/>
      <c r="G184" s="31">
        <f t="shared" si="28"/>
        <v>82.943</v>
      </c>
      <c r="H184" s="31"/>
      <c r="I184" s="31">
        <v>82.943</v>
      </c>
      <c r="J184" s="31">
        <v>16.579</v>
      </c>
      <c r="K184" s="33">
        <v>0</v>
      </c>
      <c r="L184" s="17" t="s">
        <v>117</v>
      </c>
      <c r="M184" s="167"/>
    </row>
    <row r="185" spans="1:13" ht="66" customHeight="1">
      <c r="A185" s="175"/>
      <c r="B185" s="44" t="s">
        <v>156</v>
      </c>
      <c r="C185" s="18" t="s">
        <v>48</v>
      </c>
      <c r="D185" s="11">
        <v>2019</v>
      </c>
      <c r="E185" s="31">
        <f t="shared" si="27"/>
        <v>10.74</v>
      </c>
      <c r="F185" s="31"/>
      <c r="G185" s="31">
        <f t="shared" si="28"/>
        <v>10.74</v>
      </c>
      <c r="H185" s="31"/>
      <c r="I185" s="31">
        <v>10.74</v>
      </c>
      <c r="J185" s="31">
        <v>0</v>
      </c>
      <c r="K185" s="33">
        <v>0</v>
      </c>
      <c r="L185" s="17"/>
      <c r="M185" s="44" t="s">
        <v>140</v>
      </c>
    </row>
    <row r="186" spans="1:13" ht="60" customHeight="1">
      <c r="A186" s="80" t="s">
        <v>135</v>
      </c>
      <c r="B186" s="44" t="s">
        <v>136</v>
      </c>
      <c r="C186" s="18" t="s">
        <v>48</v>
      </c>
      <c r="D186" s="11">
        <v>2019</v>
      </c>
      <c r="E186" s="31">
        <f t="shared" si="27"/>
        <v>142.281</v>
      </c>
      <c r="F186" s="31"/>
      <c r="G186" s="31">
        <f t="shared" si="28"/>
        <v>133.86</v>
      </c>
      <c r="H186" s="31"/>
      <c r="I186" s="31">
        <v>133.86</v>
      </c>
      <c r="J186" s="31">
        <v>8.421</v>
      </c>
      <c r="K186" s="33">
        <v>0</v>
      </c>
      <c r="L186" s="17" t="s">
        <v>51</v>
      </c>
      <c r="M186" s="44" t="s">
        <v>141</v>
      </c>
    </row>
    <row r="187" spans="1:13" ht="24.75" customHeight="1">
      <c r="A187" s="243"/>
      <c r="B187" s="278" t="s">
        <v>41</v>
      </c>
      <c r="C187" s="279"/>
      <c r="D187" s="20">
        <v>2017</v>
      </c>
      <c r="E187" s="32">
        <f t="shared" si="27"/>
        <v>26434.284</v>
      </c>
      <c r="F187" s="35"/>
      <c r="G187" s="36">
        <f>H187+I187</f>
        <v>0</v>
      </c>
      <c r="H187" s="69"/>
      <c r="I187" s="37">
        <f>I122+I123</f>
        <v>0</v>
      </c>
      <c r="J187" s="70">
        <f>J122+J123</f>
        <v>26434.284</v>
      </c>
      <c r="K187" s="62">
        <v>0</v>
      </c>
      <c r="L187" s="17"/>
      <c r="M187" s="44"/>
    </row>
    <row r="188" spans="1:13" ht="24.75" customHeight="1">
      <c r="A188" s="243"/>
      <c r="B188" s="280"/>
      <c r="C188" s="281"/>
      <c r="D188" s="20">
        <v>2018</v>
      </c>
      <c r="E188" s="32">
        <f t="shared" si="27"/>
        <v>29674.233</v>
      </c>
      <c r="F188" s="35"/>
      <c r="G188" s="36">
        <f>H188+I188</f>
        <v>0</v>
      </c>
      <c r="H188" s="69"/>
      <c r="I188" s="37">
        <f>I124</f>
        <v>0</v>
      </c>
      <c r="J188" s="32">
        <f>J124+J163</f>
        <v>29674.233</v>
      </c>
      <c r="K188" s="68">
        <v>0</v>
      </c>
      <c r="L188" s="17"/>
      <c r="M188" s="44"/>
    </row>
    <row r="189" spans="1:13" ht="24.75" customHeight="1">
      <c r="A189" s="243"/>
      <c r="B189" s="280"/>
      <c r="C189" s="281"/>
      <c r="D189" s="20">
        <v>2019</v>
      </c>
      <c r="E189" s="70">
        <f aca="true" t="shared" si="29" ref="E189:J189">E140+E171+E177</f>
        <v>33747.384</v>
      </c>
      <c r="F189" s="70">
        <f t="shared" si="29"/>
        <v>0</v>
      </c>
      <c r="G189" s="70">
        <f t="shared" si="29"/>
        <v>473</v>
      </c>
      <c r="H189" s="70">
        <f t="shared" si="29"/>
        <v>0</v>
      </c>
      <c r="I189" s="70">
        <f t="shared" si="29"/>
        <v>473</v>
      </c>
      <c r="J189" s="70">
        <f t="shared" si="29"/>
        <v>33274.384</v>
      </c>
      <c r="K189" s="68">
        <v>0</v>
      </c>
      <c r="L189" s="17"/>
      <c r="M189" s="44"/>
    </row>
    <row r="190" spans="1:13" ht="24.75" customHeight="1">
      <c r="A190" s="243"/>
      <c r="B190" s="280"/>
      <c r="C190" s="281"/>
      <c r="D190" s="20">
        <v>2020</v>
      </c>
      <c r="E190" s="32">
        <f t="shared" si="27"/>
        <v>10524.1</v>
      </c>
      <c r="F190" s="35"/>
      <c r="G190" s="36">
        <f>H190+I190</f>
        <v>0</v>
      </c>
      <c r="H190" s="69"/>
      <c r="I190" s="37">
        <f>I154</f>
        <v>0</v>
      </c>
      <c r="J190" s="70">
        <v>10524.1</v>
      </c>
      <c r="K190" s="68">
        <v>0</v>
      </c>
      <c r="L190" s="17"/>
      <c r="M190" s="44"/>
    </row>
    <row r="191" spans="1:13" ht="24.75" customHeight="1">
      <c r="A191" s="243"/>
      <c r="B191" s="282"/>
      <c r="C191" s="283"/>
      <c r="D191" s="20">
        <v>2021</v>
      </c>
      <c r="E191" s="32">
        <f t="shared" si="27"/>
        <v>5471.6</v>
      </c>
      <c r="F191" s="35"/>
      <c r="G191" s="36">
        <f>H191+I191</f>
        <v>0</v>
      </c>
      <c r="H191" s="69"/>
      <c r="I191" s="37">
        <f>I155</f>
        <v>0</v>
      </c>
      <c r="J191" s="70">
        <v>5471.6</v>
      </c>
      <c r="K191" s="68">
        <v>0</v>
      </c>
      <c r="L191" s="17"/>
      <c r="M191" s="44"/>
    </row>
    <row r="192" spans="1:13" ht="27" customHeight="1">
      <c r="A192" s="257" t="s">
        <v>111</v>
      </c>
      <c r="B192" s="258"/>
      <c r="C192" s="258"/>
      <c r="D192" s="258"/>
      <c r="E192" s="258"/>
      <c r="F192" s="258"/>
      <c r="G192" s="258"/>
      <c r="H192" s="258"/>
      <c r="I192" s="258"/>
      <c r="J192" s="258"/>
      <c r="K192" s="258"/>
      <c r="L192" s="258"/>
      <c r="M192" s="259"/>
    </row>
    <row r="193" spans="1:13" ht="29.25" customHeight="1">
      <c r="A193" s="284" t="s">
        <v>61</v>
      </c>
      <c r="B193" s="285"/>
      <c r="C193" s="285"/>
      <c r="D193" s="285"/>
      <c r="E193" s="285"/>
      <c r="F193" s="285"/>
      <c r="G193" s="285"/>
      <c r="H193" s="285"/>
      <c r="I193" s="285"/>
      <c r="J193" s="285"/>
      <c r="K193" s="285"/>
      <c r="L193" s="308"/>
      <c r="M193" s="309"/>
    </row>
    <row r="194" spans="1:13" ht="27" customHeight="1">
      <c r="A194" s="284" t="s">
        <v>159</v>
      </c>
      <c r="B194" s="285"/>
      <c r="C194" s="285"/>
      <c r="D194" s="285"/>
      <c r="E194" s="285"/>
      <c r="F194" s="285"/>
      <c r="G194" s="285"/>
      <c r="H194" s="285"/>
      <c r="I194" s="285"/>
      <c r="J194" s="285"/>
      <c r="K194" s="286"/>
      <c r="L194" s="21"/>
      <c r="M194" s="44"/>
    </row>
    <row r="195" spans="1:13" ht="49.5" customHeight="1">
      <c r="A195" s="175" t="s">
        <v>96</v>
      </c>
      <c r="B195" s="189" t="s">
        <v>160</v>
      </c>
      <c r="C195" s="190"/>
      <c r="D195" s="16">
        <v>2017</v>
      </c>
      <c r="E195" s="71">
        <f aca="true" t="shared" si="30" ref="E195:E204">F195+G195+J195+K195</f>
        <v>200580.416</v>
      </c>
      <c r="F195" s="71">
        <f>F196+F197+F198+F200+F201+F202+F203</f>
        <v>124615.2</v>
      </c>
      <c r="G195" s="45">
        <f>H195+I195</f>
        <v>727</v>
      </c>
      <c r="H195" s="45">
        <f>H196+H197+H198+H200+H201+H202+H203</f>
        <v>0</v>
      </c>
      <c r="I195" s="45">
        <f>I196+I197+I198+I200+I201+I202+I203</f>
        <v>727</v>
      </c>
      <c r="J195" s="45">
        <f>J196+J197+J198+J200+J201+J202+J203</f>
        <v>75238.216</v>
      </c>
      <c r="K195" s="45">
        <f>K196+K197+K198+K200+K201+K202+K203</f>
        <v>0</v>
      </c>
      <c r="L195" s="21"/>
      <c r="M195" s="167" t="s">
        <v>71</v>
      </c>
    </row>
    <row r="196" spans="1:13" ht="27" customHeight="1">
      <c r="A196" s="175"/>
      <c r="B196" s="191"/>
      <c r="C196" s="192"/>
      <c r="D196" s="82"/>
      <c r="E196" s="71">
        <f t="shared" si="30"/>
        <v>64776.86</v>
      </c>
      <c r="F196" s="40">
        <v>54731.8</v>
      </c>
      <c r="G196" s="47">
        <f>H196+I196</f>
        <v>0</v>
      </c>
      <c r="H196" s="40"/>
      <c r="I196" s="40"/>
      <c r="J196" s="40">
        <v>10045.06</v>
      </c>
      <c r="K196" s="41">
        <v>0</v>
      </c>
      <c r="L196" s="13" t="s">
        <v>11</v>
      </c>
      <c r="M196" s="167"/>
    </row>
    <row r="197" spans="1:13" ht="27" customHeight="1">
      <c r="A197" s="175"/>
      <c r="B197" s="191"/>
      <c r="C197" s="192"/>
      <c r="D197" s="20"/>
      <c r="E197" s="71">
        <f t="shared" si="30"/>
        <v>20018.813</v>
      </c>
      <c r="F197" s="40"/>
      <c r="G197" s="47">
        <f aca="true" t="shared" si="31" ref="G197:G203">H197+I197</f>
        <v>0</v>
      </c>
      <c r="H197" s="40"/>
      <c r="I197" s="40"/>
      <c r="J197" s="40">
        <v>20018.813</v>
      </c>
      <c r="K197" s="41">
        <v>0</v>
      </c>
      <c r="L197" s="13" t="s">
        <v>34</v>
      </c>
      <c r="M197" s="167"/>
    </row>
    <row r="198" spans="1:13" ht="27" customHeight="1">
      <c r="A198" s="175"/>
      <c r="B198" s="191"/>
      <c r="C198" s="192"/>
      <c r="D198" s="20"/>
      <c r="E198" s="71">
        <f t="shared" si="30"/>
        <v>13226.366</v>
      </c>
      <c r="F198" s="40"/>
      <c r="G198" s="47">
        <f t="shared" si="31"/>
        <v>0</v>
      </c>
      <c r="H198" s="40"/>
      <c r="I198" s="40"/>
      <c r="J198" s="40">
        <v>13226.366</v>
      </c>
      <c r="K198" s="41">
        <v>0</v>
      </c>
      <c r="L198" s="13" t="s">
        <v>35</v>
      </c>
      <c r="M198" s="167"/>
    </row>
    <row r="199" spans="1:13" ht="27" customHeight="1">
      <c r="A199" s="175"/>
      <c r="B199" s="191"/>
      <c r="C199" s="192"/>
      <c r="D199" s="20"/>
      <c r="E199" s="71"/>
      <c r="F199" s="40"/>
      <c r="G199" s="47"/>
      <c r="H199" s="40"/>
      <c r="I199" s="40"/>
      <c r="J199" s="40"/>
      <c r="K199" s="41"/>
      <c r="L199" s="13"/>
      <c r="M199" s="167"/>
    </row>
    <row r="200" spans="1:13" ht="27" customHeight="1">
      <c r="A200" s="175"/>
      <c r="B200" s="191"/>
      <c r="C200" s="192"/>
      <c r="D200" s="20"/>
      <c r="E200" s="71">
        <f t="shared" si="30"/>
        <v>77631.458</v>
      </c>
      <c r="F200" s="40">
        <v>69883.4</v>
      </c>
      <c r="G200" s="47">
        <f t="shared" si="31"/>
        <v>0</v>
      </c>
      <c r="H200" s="40"/>
      <c r="I200" s="40"/>
      <c r="J200" s="40">
        <v>7748.058</v>
      </c>
      <c r="K200" s="41">
        <v>0</v>
      </c>
      <c r="L200" s="13" t="s">
        <v>36</v>
      </c>
      <c r="M200" s="167"/>
    </row>
    <row r="201" spans="1:13" ht="29.25" customHeight="1">
      <c r="A201" s="175"/>
      <c r="B201" s="191"/>
      <c r="C201" s="192"/>
      <c r="D201" s="20"/>
      <c r="E201" s="71">
        <f t="shared" si="30"/>
        <v>8225.922</v>
      </c>
      <c r="F201" s="22"/>
      <c r="G201" s="47">
        <f t="shared" si="31"/>
        <v>0</v>
      </c>
      <c r="H201" s="40"/>
      <c r="I201" s="40"/>
      <c r="J201" s="40">
        <v>8225.922</v>
      </c>
      <c r="K201" s="41">
        <v>0</v>
      </c>
      <c r="L201" s="13" t="s">
        <v>22</v>
      </c>
      <c r="M201" s="167"/>
    </row>
    <row r="202" spans="1:13" ht="32.25" customHeight="1">
      <c r="A202" s="175"/>
      <c r="B202" s="191"/>
      <c r="C202" s="192"/>
      <c r="D202" s="20"/>
      <c r="E202" s="71">
        <f t="shared" si="30"/>
        <v>11386.085</v>
      </c>
      <c r="F202" s="22"/>
      <c r="G202" s="47">
        <f t="shared" si="31"/>
        <v>0</v>
      </c>
      <c r="H202" s="40"/>
      <c r="I202" s="40"/>
      <c r="J202" s="40">
        <v>11386.085</v>
      </c>
      <c r="K202" s="41">
        <v>0</v>
      </c>
      <c r="L202" s="13" t="s">
        <v>37</v>
      </c>
      <c r="M202" s="167"/>
    </row>
    <row r="203" spans="1:13" ht="41.25" customHeight="1">
      <c r="A203" s="175"/>
      <c r="B203" s="191"/>
      <c r="C203" s="192"/>
      <c r="D203" s="20"/>
      <c r="E203" s="71">
        <f t="shared" si="30"/>
        <v>5314.912</v>
      </c>
      <c r="F203" s="22"/>
      <c r="G203" s="47">
        <f t="shared" si="31"/>
        <v>727</v>
      </c>
      <c r="H203" s="40">
        <v>0</v>
      </c>
      <c r="I203" s="40">
        <v>727</v>
      </c>
      <c r="J203" s="40">
        <f>5287.912-700</f>
        <v>4587.912</v>
      </c>
      <c r="K203" s="41">
        <v>0</v>
      </c>
      <c r="L203" s="13" t="s">
        <v>40</v>
      </c>
      <c r="M203" s="167"/>
    </row>
    <row r="204" spans="1:13" ht="58.5" customHeight="1">
      <c r="A204" s="175"/>
      <c r="B204" s="193"/>
      <c r="C204" s="194"/>
      <c r="D204" s="20">
        <v>2017</v>
      </c>
      <c r="E204" s="71">
        <f t="shared" si="30"/>
        <v>16200</v>
      </c>
      <c r="F204" s="72"/>
      <c r="G204" s="72">
        <f>H204+I204</f>
        <v>0</v>
      </c>
      <c r="H204" s="72">
        <v>0</v>
      </c>
      <c r="I204" s="72">
        <v>0</v>
      </c>
      <c r="J204" s="72">
        <v>16200</v>
      </c>
      <c r="K204" s="72">
        <v>0</v>
      </c>
      <c r="L204" s="13" t="s">
        <v>44</v>
      </c>
      <c r="M204" s="167"/>
    </row>
    <row r="205" spans="1:13" ht="27" customHeight="1" hidden="1" thickBot="1">
      <c r="A205" s="80"/>
      <c r="B205" s="73"/>
      <c r="C205" s="73"/>
      <c r="D205" s="20"/>
      <c r="E205" s="71">
        <f>F205+G205+J205+K205</f>
        <v>0</v>
      </c>
      <c r="F205" s="72"/>
      <c r="G205" s="72"/>
      <c r="H205" s="72"/>
      <c r="I205" s="72"/>
      <c r="J205" s="40"/>
      <c r="K205" s="40"/>
      <c r="L205" s="13"/>
      <c r="M205" s="167"/>
    </row>
    <row r="206" spans="1:13" ht="24.75" customHeight="1">
      <c r="A206" s="175" t="s">
        <v>97</v>
      </c>
      <c r="B206" s="176" t="s">
        <v>98</v>
      </c>
      <c r="C206" s="177"/>
      <c r="D206" s="174">
        <v>2018</v>
      </c>
      <c r="E206" s="71">
        <f>F206+G206+J206+K206</f>
        <v>209116.99978</v>
      </c>
      <c r="F206" s="71">
        <f>SUM(F207:F213)</f>
        <v>137344.5</v>
      </c>
      <c r="G206" s="71">
        <f>H206+I206</f>
        <v>1006.9820000000001</v>
      </c>
      <c r="H206" s="71">
        <f>H207+H208+H209+H210+H211+H212+H213</f>
        <v>0</v>
      </c>
      <c r="I206" s="71">
        <f>SUM(I207:I213)</f>
        <v>1006.9820000000001</v>
      </c>
      <c r="J206" s="71">
        <f>J207+J208+J209+J210+J211+J212+J213</f>
        <v>70765.51778000001</v>
      </c>
      <c r="K206" s="72">
        <v>0</v>
      </c>
      <c r="L206" s="13"/>
      <c r="M206" s="167"/>
    </row>
    <row r="207" spans="1:13" ht="24.75" customHeight="1">
      <c r="A207" s="175"/>
      <c r="B207" s="178"/>
      <c r="C207" s="179"/>
      <c r="D207" s="174"/>
      <c r="E207" s="71">
        <f aca="true" t="shared" si="32" ref="E207:E219">F207+G207+J207+K207</f>
        <v>23993.106</v>
      </c>
      <c r="F207" s="22">
        <f>13666.243+401.723+232.4</f>
        <v>14300.366</v>
      </c>
      <c r="G207" s="71">
        <f>H207+I207</f>
        <v>0</v>
      </c>
      <c r="H207" s="22"/>
      <c r="I207" s="83"/>
      <c r="J207" s="22">
        <f>9852.084+390.21-2100+341.676+175.77+33+1000</f>
        <v>9692.74</v>
      </c>
      <c r="K207" s="40">
        <v>0</v>
      </c>
      <c r="L207" s="13" t="s">
        <v>11</v>
      </c>
      <c r="M207" s="167"/>
    </row>
    <row r="208" spans="1:13" ht="24.75" customHeight="1">
      <c r="A208" s="175"/>
      <c r="B208" s="178"/>
      <c r="C208" s="179"/>
      <c r="D208" s="174"/>
      <c r="E208" s="71">
        <f t="shared" si="32"/>
        <v>50093.08377</v>
      </c>
      <c r="F208" s="22">
        <f>29992.565+858.854</f>
        <v>30851.418999999998</v>
      </c>
      <c r="G208" s="71">
        <f aca="true" t="shared" si="33" ref="G208:G213">H208+I208</f>
        <v>0</v>
      </c>
      <c r="H208" s="22"/>
      <c r="I208" s="83"/>
      <c r="J208" s="22">
        <f>20130.966+919.02-4300+766.8+389.718+170+1165.16077</f>
        <v>19241.66477</v>
      </c>
      <c r="K208" s="40">
        <v>0</v>
      </c>
      <c r="L208" s="13" t="s">
        <v>34</v>
      </c>
      <c r="M208" s="167"/>
    </row>
    <row r="209" spans="1:13" ht="24.75" customHeight="1">
      <c r="A209" s="175"/>
      <c r="B209" s="178"/>
      <c r="C209" s="179"/>
      <c r="D209" s="174"/>
      <c r="E209" s="71">
        <f t="shared" si="32"/>
        <v>28049.476</v>
      </c>
      <c r="F209" s="22">
        <f>14985.192+401.723</f>
        <v>15386.914999999999</v>
      </c>
      <c r="G209" s="71">
        <f t="shared" si="33"/>
        <v>0</v>
      </c>
      <c r="H209" s="22"/>
      <c r="I209" s="83"/>
      <c r="J209" s="22">
        <f>13529.638+429.793-2900+367.83+195.3+40+1000</f>
        <v>12662.561</v>
      </c>
      <c r="K209" s="40">
        <v>0</v>
      </c>
      <c r="L209" s="13" t="s">
        <v>35</v>
      </c>
      <c r="M209" s="167"/>
    </row>
    <row r="210" spans="1:13" ht="24.75" customHeight="1">
      <c r="A210" s="175"/>
      <c r="B210" s="178"/>
      <c r="C210" s="179"/>
      <c r="D210" s="174"/>
      <c r="E210" s="71">
        <f t="shared" si="32"/>
        <v>42507.873999999996</v>
      </c>
      <c r="F210" s="22">
        <f>30680.494+2764.647+1578.681</f>
        <v>35023.82199999999</v>
      </c>
      <c r="G210" s="71">
        <f t="shared" si="33"/>
        <v>0</v>
      </c>
      <c r="H210" s="22"/>
      <c r="I210" s="83"/>
      <c r="J210" s="22">
        <f>8048.81-1700+345.242-210+1000</f>
        <v>7484.052000000001</v>
      </c>
      <c r="K210" s="40">
        <v>0</v>
      </c>
      <c r="L210" s="13" t="s">
        <v>36</v>
      </c>
      <c r="M210" s="167"/>
    </row>
    <row r="211" spans="1:13" ht="24.75" customHeight="1">
      <c r="A211" s="175"/>
      <c r="B211" s="178"/>
      <c r="C211" s="179"/>
      <c r="D211" s="174"/>
      <c r="E211" s="71">
        <f t="shared" si="32"/>
        <v>50010.63799999999</v>
      </c>
      <c r="F211" s="22">
        <f>39719.506+177.753+1884.719</f>
        <v>41781.977999999996</v>
      </c>
      <c r="G211" s="71">
        <f t="shared" si="33"/>
        <v>0</v>
      </c>
      <c r="H211" s="22"/>
      <c r="I211" s="83"/>
      <c r="J211" s="22">
        <f>8631.55-1800+397.11+1000</f>
        <v>8228.66</v>
      </c>
      <c r="K211" s="40">
        <v>0</v>
      </c>
      <c r="L211" s="13" t="s">
        <v>22</v>
      </c>
      <c r="M211" s="167"/>
    </row>
    <row r="212" spans="1:13" ht="24.75" customHeight="1">
      <c r="A212" s="175"/>
      <c r="B212" s="178"/>
      <c r="C212" s="179"/>
      <c r="D212" s="174"/>
      <c r="E212" s="71">
        <f t="shared" si="32"/>
        <v>9699.46648</v>
      </c>
      <c r="F212" s="71"/>
      <c r="G212" s="71">
        <f t="shared" si="33"/>
        <v>1006.9820000000001</v>
      </c>
      <c r="H212" s="22">
        <v>0</v>
      </c>
      <c r="I212" s="22">
        <f>607.273+227.345+172.364</f>
        <v>1006.9820000000001</v>
      </c>
      <c r="J212" s="22">
        <f>10509.141+105.556-2200-617.733+133+762.52048</f>
        <v>8692.48448</v>
      </c>
      <c r="K212" s="40">
        <v>0</v>
      </c>
      <c r="L212" s="13" t="s">
        <v>37</v>
      </c>
      <c r="M212" s="167"/>
    </row>
    <row r="213" spans="1:13" ht="24.75" customHeight="1">
      <c r="A213" s="175"/>
      <c r="B213" s="178"/>
      <c r="C213" s="179"/>
      <c r="D213" s="174"/>
      <c r="E213" s="71">
        <f t="shared" si="32"/>
        <v>4763.355530000001</v>
      </c>
      <c r="F213" s="71"/>
      <c r="G213" s="71">
        <f t="shared" si="33"/>
        <v>0</v>
      </c>
      <c r="H213" s="22"/>
      <c r="I213" s="22">
        <v>0</v>
      </c>
      <c r="J213" s="22">
        <f>4700.622+104.16-92.24918+50.82271</f>
        <v>4763.355530000001</v>
      </c>
      <c r="K213" s="40">
        <v>0</v>
      </c>
      <c r="L213" s="13" t="s">
        <v>59</v>
      </c>
      <c r="M213" s="167"/>
    </row>
    <row r="214" spans="1:13" ht="24.75" customHeight="1">
      <c r="A214" s="175"/>
      <c r="B214" s="178"/>
      <c r="C214" s="179"/>
      <c r="D214" s="174">
        <v>2018</v>
      </c>
      <c r="E214" s="71">
        <f t="shared" si="32"/>
        <v>0</v>
      </c>
      <c r="F214" s="71">
        <f>SUM(F215:F219)</f>
        <v>0</v>
      </c>
      <c r="G214" s="71">
        <f>SUM(G215:G219)</f>
        <v>0</v>
      </c>
      <c r="H214" s="71">
        <f>SUM(H215:H219)</f>
        <v>0</v>
      </c>
      <c r="I214" s="71">
        <f>SUM(I215:I219)</f>
        <v>0</v>
      </c>
      <c r="J214" s="71">
        <f>SUM(J215:J219)</f>
        <v>0</v>
      </c>
      <c r="K214" s="72"/>
      <c r="L214" s="59"/>
      <c r="M214" s="167"/>
    </row>
    <row r="215" spans="1:13" ht="24.75" customHeight="1">
      <c r="A215" s="175"/>
      <c r="B215" s="178"/>
      <c r="C215" s="179"/>
      <c r="D215" s="174"/>
      <c r="E215" s="71">
        <f t="shared" si="32"/>
        <v>0</v>
      </c>
      <c r="F215" s="39"/>
      <c r="G215" s="71">
        <f aca="true" t="shared" si="34" ref="G215:G221">H215+I215</f>
        <v>0</v>
      </c>
      <c r="H215" s="22"/>
      <c r="I215" s="22"/>
      <c r="J215" s="22">
        <v>0</v>
      </c>
      <c r="K215" s="40"/>
      <c r="L215" s="13" t="s">
        <v>11</v>
      </c>
      <c r="M215" s="167"/>
    </row>
    <row r="216" spans="1:13" ht="24.75" customHeight="1">
      <c r="A216" s="175"/>
      <c r="B216" s="178"/>
      <c r="C216" s="179"/>
      <c r="D216" s="174"/>
      <c r="E216" s="71">
        <f t="shared" si="32"/>
        <v>0</v>
      </c>
      <c r="F216" s="39"/>
      <c r="G216" s="71">
        <f t="shared" si="34"/>
        <v>0</v>
      </c>
      <c r="H216" s="22"/>
      <c r="I216" s="22"/>
      <c r="J216" s="22">
        <v>0</v>
      </c>
      <c r="K216" s="40"/>
      <c r="L216" s="13" t="s">
        <v>34</v>
      </c>
      <c r="M216" s="167"/>
    </row>
    <row r="217" spans="1:13" ht="24.75" customHeight="1">
      <c r="A217" s="175"/>
      <c r="B217" s="178"/>
      <c r="C217" s="179"/>
      <c r="D217" s="174"/>
      <c r="E217" s="71">
        <f t="shared" si="32"/>
        <v>0</v>
      </c>
      <c r="F217" s="39"/>
      <c r="G217" s="71">
        <f t="shared" si="34"/>
        <v>0</v>
      </c>
      <c r="H217" s="22"/>
      <c r="I217" s="22"/>
      <c r="J217" s="22">
        <v>0</v>
      </c>
      <c r="K217" s="40"/>
      <c r="L217" s="13" t="s">
        <v>35</v>
      </c>
      <c r="M217" s="167"/>
    </row>
    <row r="218" spans="1:13" ht="24.75" customHeight="1">
      <c r="A218" s="175"/>
      <c r="B218" s="178"/>
      <c r="C218" s="179"/>
      <c r="D218" s="174"/>
      <c r="E218" s="71">
        <f t="shared" si="32"/>
        <v>0</v>
      </c>
      <c r="F218" s="39"/>
      <c r="G218" s="71">
        <f t="shared" si="34"/>
        <v>0</v>
      </c>
      <c r="H218" s="22"/>
      <c r="I218" s="22"/>
      <c r="J218" s="22">
        <v>0</v>
      </c>
      <c r="K218" s="40"/>
      <c r="L218" s="13" t="s">
        <v>36</v>
      </c>
      <c r="M218" s="167"/>
    </row>
    <row r="219" spans="1:13" ht="24.75" customHeight="1">
      <c r="A219" s="175"/>
      <c r="B219" s="178"/>
      <c r="C219" s="179"/>
      <c r="D219" s="174"/>
      <c r="E219" s="71">
        <f t="shared" si="32"/>
        <v>0</v>
      </c>
      <c r="F219" s="39"/>
      <c r="G219" s="71">
        <f t="shared" si="34"/>
        <v>0</v>
      </c>
      <c r="H219" s="22"/>
      <c r="I219" s="22"/>
      <c r="J219" s="22">
        <v>0</v>
      </c>
      <c r="K219" s="40"/>
      <c r="L219" s="13" t="s">
        <v>22</v>
      </c>
      <c r="M219" s="167"/>
    </row>
    <row r="220" spans="1:13" ht="24.75" customHeight="1">
      <c r="A220" s="175"/>
      <c r="B220" s="178"/>
      <c r="C220" s="179"/>
      <c r="D220" s="174">
        <v>2019</v>
      </c>
      <c r="E220" s="72">
        <f aca="true" t="shared" si="35" ref="E220:E230">F220+G220+J220+K220</f>
        <v>216918.23698</v>
      </c>
      <c r="F220" s="72">
        <f>SUM(F221:F229)</f>
        <v>144858</v>
      </c>
      <c r="G220" s="72">
        <f t="shared" si="34"/>
        <v>1139.636</v>
      </c>
      <c r="H220" s="72">
        <f>H221+H222+H223+H224+H225+H227+H229</f>
        <v>0</v>
      </c>
      <c r="I220" s="72">
        <f>I221+I222+I223+I224+I225+I227+I229</f>
        <v>1139.636</v>
      </c>
      <c r="J220" s="72">
        <f>SUM(J221:J229)</f>
        <v>70920.60098</v>
      </c>
      <c r="K220" s="72">
        <v>0</v>
      </c>
      <c r="L220" s="13"/>
      <c r="M220" s="167"/>
    </row>
    <row r="221" spans="1:13" ht="24.75" customHeight="1">
      <c r="A221" s="175"/>
      <c r="B221" s="178"/>
      <c r="C221" s="179"/>
      <c r="D221" s="174"/>
      <c r="E221" s="40">
        <f t="shared" si="35"/>
        <v>22105.946</v>
      </c>
      <c r="F221" s="40">
        <v>13252.661</v>
      </c>
      <c r="G221" s="40">
        <f t="shared" si="34"/>
        <v>0</v>
      </c>
      <c r="H221" s="40"/>
      <c r="I221" s="40"/>
      <c r="J221" s="40">
        <v>8853.285</v>
      </c>
      <c r="K221" s="40">
        <v>0</v>
      </c>
      <c r="L221" s="13" t="s">
        <v>11</v>
      </c>
      <c r="M221" s="167"/>
    </row>
    <row r="222" spans="1:13" ht="24.75" customHeight="1">
      <c r="A222" s="175"/>
      <c r="B222" s="178"/>
      <c r="C222" s="179"/>
      <c r="D222" s="174"/>
      <c r="E222" s="40">
        <f t="shared" si="35"/>
        <v>48068.16623</v>
      </c>
      <c r="F222" s="40">
        <v>29522.977</v>
      </c>
      <c r="G222" s="40">
        <f aca="true" t="shared" si="36" ref="G222:G229">H222+I222</f>
        <v>0</v>
      </c>
      <c r="H222" s="40"/>
      <c r="I222" s="40"/>
      <c r="J222" s="40">
        <v>18545.18923</v>
      </c>
      <c r="K222" s="40">
        <v>0</v>
      </c>
      <c r="L222" s="13" t="s">
        <v>34</v>
      </c>
      <c r="M222" s="167"/>
    </row>
    <row r="223" spans="1:13" ht="24.75" customHeight="1">
      <c r="A223" s="175"/>
      <c r="B223" s="178"/>
      <c r="C223" s="179"/>
      <c r="D223" s="174"/>
      <c r="E223" s="40">
        <f t="shared" si="35"/>
        <v>27955.201999999997</v>
      </c>
      <c r="F223" s="40">
        <v>15424.362</v>
      </c>
      <c r="G223" s="40">
        <f t="shared" si="36"/>
        <v>0</v>
      </c>
      <c r="H223" s="40"/>
      <c r="I223" s="40"/>
      <c r="J223" s="40">
        <v>12530.84</v>
      </c>
      <c r="K223" s="40">
        <v>0</v>
      </c>
      <c r="L223" s="13" t="s">
        <v>35</v>
      </c>
      <c r="M223" s="167"/>
    </row>
    <row r="224" spans="1:13" ht="24.75" customHeight="1">
      <c r="A224" s="175"/>
      <c r="B224" s="178"/>
      <c r="C224" s="179"/>
      <c r="D224" s="174"/>
      <c r="E224" s="40">
        <f t="shared" si="35"/>
        <v>46795.919</v>
      </c>
      <c r="F224" s="40">
        <v>39746.014</v>
      </c>
      <c r="G224" s="40">
        <f t="shared" si="36"/>
        <v>0</v>
      </c>
      <c r="H224" s="40"/>
      <c r="I224" s="40"/>
      <c r="J224" s="40">
        <f>7050.01-0.105</f>
        <v>7049.905000000001</v>
      </c>
      <c r="K224" s="40">
        <v>0</v>
      </c>
      <c r="L224" s="13" t="s">
        <v>36</v>
      </c>
      <c r="M224" s="167"/>
    </row>
    <row r="225" spans="1:13" ht="24.75" customHeight="1">
      <c r="A225" s="175"/>
      <c r="B225" s="178"/>
      <c r="C225" s="179"/>
      <c r="D225" s="174"/>
      <c r="E225" s="40">
        <f t="shared" si="35"/>
        <v>54544.736999999994</v>
      </c>
      <c r="F225" s="40">
        <v>46911.986</v>
      </c>
      <c r="G225" s="40">
        <f t="shared" si="36"/>
        <v>0</v>
      </c>
      <c r="H225" s="40"/>
      <c r="I225" s="40"/>
      <c r="J225" s="40">
        <v>7632.751</v>
      </c>
      <c r="K225" s="40">
        <v>0</v>
      </c>
      <c r="L225" s="13" t="s">
        <v>22</v>
      </c>
      <c r="M225" s="167"/>
    </row>
    <row r="226" spans="1:13" ht="24.75" customHeight="1">
      <c r="A226" s="175"/>
      <c r="B226" s="178"/>
      <c r="C226" s="179"/>
      <c r="D226" s="174"/>
      <c r="E226" s="40">
        <f t="shared" si="35"/>
        <v>4712.3</v>
      </c>
      <c r="F226" s="40">
        <v>0</v>
      </c>
      <c r="G226" s="40">
        <v>0</v>
      </c>
      <c r="H226" s="40"/>
      <c r="I226" s="40"/>
      <c r="J226" s="40">
        <v>4712.3</v>
      </c>
      <c r="K226" s="40">
        <v>0</v>
      </c>
      <c r="L226" s="13" t="s">
        <v>186</v>
      </c>
      <c r="M226" s="167"/>
    </row>
    <row r="227" spans="1:13" ht="24.75" customHeight="1">
      <c r="A227" s="175"/>
      <c r="B227" s="178"/>
      <c r="C227" s="179"/>
      <c r="D227" s="174"/>
      <c r="E227" s="40">
        <f t="shared" si="35"/>
        <v>5746.63146</v>
      </c>
      <c r="F227" s="40">
        <v>0</v>
      </c>
      <c r="G227" s="40">
        <f t="shared" si="36"/>
        <v>0</v>
      </c>
      <c r="H227" s="40"/>
      <c r="I227" s="40"/>
      <c r="J227" s="40">
        <v>5746.63146</v>
      </c>
      <c r="K227" s="40">
        <v>0</v>
      </c>
      <c r="L227" s="13" t="s">
        <v>185</v>
      </c>
      <c r="M227" s="167"/>
    </row>
    <row r="228" spans="1:13" ht="24.75" customHeight="1">
      <c r="A228" s="175"/>
      <c r="B228" s="178"/>
      <c r="C228" s="179"/>
      <c r="D228" s="174"/>
      <c r="E228" s="40">
        <f t="shared" si="35"/>
        <v>59.5</v>
      </c>
      <c r="F228" s="40">
        <v>0</v>
      </c>
      <c r="G228" s="40">
        <f t="shared" si="36"/>
        <v>0</v>
      </c>
      <c r="H228" s="40"/>
      <c r="I228" s="40"/>
      <c r="J228" s="40">
        <v>59.5</v>
      </c>
      <c r="K228" s="40">
        <v>0</v>
      </c>
      <c r="L228" s="13" t="s">
        <v>184</v>
      </c>
      <c r="M228" s="167"/>
    </row>
    <row r="229" spans="1:13" ht="43.5" customHeight="1">
      <c r="A229" s="175"/>
      <c r="B229" s="178"/>
      <c r="C229" s="179"/>
      <c r="D229" s="174"/>
      <c r="E229" s="40">
        <f t="shared" si="35"/>
        <v>6929.835289999999</v>
      </c>
      <c r="F229" s="40">
        <v>0</v>
      </c>
      <c r="G229" s="40">
        <f t="shared" si="36"/>
        <v>1139.636</v>
      </c>
      <c r="H229" s="40"/>
      <c r="I229" s="40">
        <v>1139.636</v>
      </c>
      <c r="J229" s="40">
        <f>5849.69929-59.5</f>
        <v>5790.19929</v>
      </c>
      <c r="K229" s="40">
        <v>0</v>
      </c>
      <c r="L229" s="13" t="s">
        <v>59</v>
      </c>
      <c r="M229" s="167"/>
    </row>
    <row r="230" spans="1:13" ht="27" customHeight="1">
      <c r="A230" s="175"/>
      <c r="B230" s="178"/>
      <c r="C230" s="179"/>
      <c r="D230" s="174">
        <v>2020</v>
      </c>
      <c r="E230" s="72">
        <f t="shared" si="35"/>
        <v>214948.897</v>
      </c>
      <c r="F230" s="72">
        <f>SUM(F231:F237)</f>
        <v>137561.4</v>
      </c>
      <c r="G230" s="72">
        <f>H230+I230</f>
        <v>1139.636</v>
      </c>
      <c r="H230" s="72">
        <f>H231+H232+H233+H234+H235+H236+H237</f>
        <v>0</v>
      </c>
      <c r="I230" s="72">
        <f>I231+I232+I233+I234+I235+I236+I237</f>
        <v>1139.636</v>
      </c>
      <c r="J230" s="72">
        <f>J231+J232+J233+J234+J235+J236+J237</f>
        <v>76247.861</v>
      </c>
      <c r="K230" s="72">
        <v>0</v>
      </c>
      <c r="L230" s="13"/>
      <c r="M230" s="167"/>
    </row>
    <row r="231" spans="1:13" ht="27" customHeight="1">
      <c r="A231" s="175"/>
      <c r="B231" s="178"/>
      <c r="C231" s="179"/>
      <c r="D231" s="174"/>
      <c r="E231" s="72">
        <f aca="true" t="shared" si="37" ref="E231:E237">F231+G231+J231+K231</f>
        <v>23257.607</v>
      </c>
      <c r="F231" s="40">
        <v>12652.495</v>
      </c>
      <c r="G231" s="40">
        <f>H231+I231</f>
        <v>0</v>
      </c>
      <c r="H231" s="40"/>
      <c r="I231" s="40"/>
      <c r="J231" s="40">
        <v>10605.112</v>
      </c>
      <c r="K231" s="40">
        <v>0</v>
      </c>
      <c r="L231" s="13" t="s">
        <v>11</v>
      </c>
      <c r="M231" s="167"/>
    </row>
    <row r="232" spans="1:13" ht="27" customHeight="1">
      <c r="A232" s="175"/>
      <c r="B232" s="178"/>
      <c r="C232" s="179"/>
      <c r="D232" s="174"/>
      <c r="E232" s="72">
        <f t="shared" si="37"/>
        <v>51515.157</v>
      </c>
      <c r="F232" s="40">
        <v>30123.143</v>
      </c>
      <c r="G232" s="40">
        <f aca="true" t="shared" si="38" ref="G232:G237">H232+I232</f>
        <v>0</v>
      </c>
      <c r="H232" s="40"/>
      <c r="I232" s="40"/>
      <c r="J232" s="40">
        <v>21392.014</v>
      </c>
      <c r="K232" s="40">
        <v>0</v>
      </c>
      <c r="L232" s="13" t="s">
        <v>34</v>
      </c>
      <c r="M232" s="167"/>
    </row>
    <row r="233" spans="1:13" ht="27" customHeight="1">
      <c r="A233" s="175"/>
      <c r="B233" s="178"/>
      <c r="C233" s="179"/>
      <c r="D233" s="174"/>
      <c r="E233" s="72">
        <f t="shared" si="37"/>
        <v>28304.396999999997</v>
      </c>
      <c r="F233" s="40">
        <v>15424.362</v>
      </c>
      <c r="G233" s="40">
        <f t="shared" si="38"/>
        <v>0</v>
      </c>
      <c r="H233" s="40"/>
      <c r="I233" s="40"/>
      <c r="J233" s="40">
        <v>12880.035</v>
      </c>
      <c r="K233" s="40">
        <v>0</v>
      </c>
      <c r="L233" s="13" t="s">
        <v>35</v>
      </c>
      <c r="M233" s="167"/>
    </row>
    <row r="234" spans="1:13" ht="27" customHeight="1">
      <c r="A234" s="175"/>
      <c r="B234" s="178"/>
      <c r="C234" s="179"/>
      <c r="D234" s="174"/>
      <c r="E234" s="72">
        <f t="shared" si="37"/>
        <v>44577.263999999996</v>
      </c>
      <c r="F234" s="40">
        <v>37710.681</v>
      </c>
      <c r="G234" s="40">
        <f t="shared" si="38"/>
        <v>0</v>
      </c>
      <c r="H234" s="40"/>
      <c r="I234" s="40"/>
      <c r="J234" s="40">
        <v>6866.583</v>
      </c>
      <c r="K234" s="40">
        <v>0</v>
      </c>
      <c r="L234" s="13" t="s">
        <v>36</v>
      </c>
      <c r="M234" s="167"/>
    </row>
    <row r="235" spans="1:13" ht="27" customHeight="1">
      <c r="A235" s="175"/>
      <c r="B235" s="178"/>
      <c r="C235" s="179"/>
      <c r="D235" s="174"/>
      <c r="E235" s="72">
        <f t="shared" si="37"/>
        <v>49650.251</v>
      </c>
      <c r="F235" s="40">
        <v>41650.719</v>
      </c>
      <c r="G235" s="40">
        <f t="shared" si="38"/>
        <v>0</v>
      </c>
      <c r="H235" s="40"/>
      <c r="I235" s="40"/>
      <c r="J235" s="40">
        <v>7999.532</v>
      </c>
      <c r="K235" s="40">
        <v>0</v>
      </c>
      <c r="L235" s="13" t="s">
        <v>22</v>
      </c>
      <c r="M235" s="167"/>
    </row>
    <row r="236" spans="1:13" ht="27" customHeight="1">
      <c r="A236" s="175"/>
      <c r="B236" s="178"/>
      <c r="C236" s="179"/>
      <c r="D236" s="174"/>
      <c r="E236" s="72">
        <f t="shared" si="37"/>
        <v>11699.803</v>
      </c>
      <c r="F236" s="40">
        <v>0</v>
      </c>
      <c r="G236" s="40">
        <f t="shared" si="38"/>
        <v>0</v>
      </c>
      <c r="H236" s="40"/>
      <c r="I236" s="40"/>
      <c r="J236" s="40">
        <v>11699.803</v>
      </c>
      <c r="K236" s="40">
        <v>0</v>
      </c>
      <c r="L236" s="13" t="s">
        <v>37</v>
      </c>
      <c r="M236" s="167"/>
    </row>
    <row r="237" spans="1:13" ht="39.75" customHeight="1">
      <c r="A237" s="175"/>
      <c r="B237" s="178"/>
      <c r="C237" s="179"/>
      <c r="D237" s="174"/>
      <c r="E237" s="72">
        <f t="shared" si="37"/>
        <v>5944.418</v>
      </c>
      <c r="F237" s="40">
        <v>0</v>
      </c>
      <c r="G237" s="40">
        <f t="shared" si="38"/>
        <v>1139.636</v>
      </c>
      <c r="H237" s="40"/>
      <c r="I237" s="40">
        <v>1139.636</v>
      </c>
      <c r="J237" s="40">
        <v>4804.782</v>
      </c>
      <c r="K237" s="40">
        <v>0</v>
      </c>
      <c r="L237" s="13" t="s">
        <v>59</v>
      </c>
      <c r="M237" s="167"/>
    </row>
    <row r="238" spans="1:13" ht="27" customHeight="1">
      <c r="A238" s="175"/>
      <c r="B238" s="178"/>
      <c r="C238" s="179"/>
      <c r="D238" s="174">
        <v>2021</v>
      </c>
      <c r="E238" s="72">
        <f>F238+G238+J238+K238</f>
        <v>214872.097</v>
      </c>
      <c r="F238" s="72">
        <f>SUM(F239:F245)</f>
        <v>137562.7</v>
      </c>
      <c r="G238" s="72">
        <f>H238+I238</f>
        <v>1139.636</v>
      </c>
      <c r="H238" s="72">
        <f>H239+H240+H241+H242+H243+H244+H245</f>
        <v>0</v>
      </c>
      <c r="I238" s="72">
        <f>I239+I240+I241+I242+I243+I244+I245</f>
        <v>1139.636</v>
      </c>
      <c r="J238" s="72">
        <f>J239+J240+J241+J242+J243+J244+J245</f>
        <v>76169.76100000001</v>
      </c>
      <c r="K238" s="72">
        <v>0</v>
      </c>
      <c r="L238" s="13"/>
      <c r="M238" s="167"/>
    </row>
    <row r="239" spans="1:13" ht="27" customHeight="1">
      <c r="A239" s="175"/>
      <c r="B239" s="178"/>
      <c r="C239" s="179"/>
      <c r="D239" s="174"/>
      <c r="E239" s="72">
        <f>F239+G239+J239+K239</f>
        <v>23255.257</v>
      </c>
      <c r="F239" s="40">
        <v>12652.495</v>
      </c>
      <c r="G239" s="40">
        <f>H239+I239</f>
        <v>0</v>
      </c>
      <c r="H239" s="40"/>
      <c r="I239" s="40"/>
      <c r="J239" s="40">
        <v>10602.762</v>
      </c>
      <c r="K239" s="40">
        <v>0</v>
      </c>
      <c r="L239" s="13" t="s">
        <v>11</v>
      </c>
      <c r="M239" s="167"/>
    </row>
    <row r="240" spans="1:13" ht="27" customHeight="1">
      <c r="A240" s="175"/>
      <c r="B240" s="178"/>
      <c r="C240" s="179"/>
      <c r="D240" s="174"/>
      <c r="E240" s="72">
        <f aca="true" t="shared" si="39" ref="E240:E245">F240+G240+J240+K240</f>
        <v>51505.507</v>
      </c>
      <c r="F240" s="40">
        <v>30123.143</v>
      </c>
      <c r="G240" s="40">
        <f aca="true" t="shared" si="40" ref="G240:G245">H240+I240</f>
        <v>0</v>
      </c>
      <c r="H240" s="40"/>
      <c r="I240" s="40"/>
      <c r="J240" s="40">
        <v>21382.364</v>
      </c>
      <c r="K240" s="40">
        <v>0</v>
      </c>
      <c r="L240" s="13" t="s">
        <v>34</v>
      </c>
      <c r="M240" s="167"/>
    </row>
    <row r="241" spans="1:13" ht="27" customHeight="1">
      <c r="A241" s="175"/>
      <c r="B241" s="178"/>
      <c r="C241" s="179"/>
      <c r="D241" s="174"/>
      <c r="E241" s="72">
        <f t="shared" si="39"/>
        <v>28289.847</v>
      </c>
      <c r="F241" s="40">
        <v>15424.362</v>
      </c>
      <c r="G241" s="40">
        <f t="shared" si="40"/>
        <v>0</v>
      </c>
      <c r="H241" s="40"/>
      <c r="I241" s="40"/>
      <c r="J241" s="40">
        <v>12865.485</v>
      </c>
      <c r="K241" s="40">
        <v>0</v>
      </c>
      <c r="L241" s="13" t="s">
        <v>35</v>
      </c>
      <c r="M241" s="167"/>
    </row>
    <row r="242" spans="1:13" ht="27" customHeight="1">
      <c r="A242" s="175"/>
      <c r="B242" s="178"/>
      <c r="C242" s="179"/>
      <c r="D242" s="174"/>
      <c r="E242" s="72">
        <f t="shared" si="39"/>
        <v>44571.731999999996</v>
      </c>
      <c r="F242" s="40">
        <v>37711.299</v>
      </c>
      <c r="G242" s="40">
        <f t="shared" si="40"/>
        <v>0</v>
      </c>
      <c r="H242" s="40"/>
      <c r="I242" s="40"/>
      <c r="J242" s="40">
        <v>6860.433</v>
      </c>
      <c r="K242" s="40">
        <v>0</v>
      </c>
      <c r="L242" s="13" t="s">
        <v>36</v>
      </c>
      <c r="M242" s="167"/>
    </row>
    <row r="243" spans="1:13" ht="39" customHeight="1">
      <c r="A243" s="175"/>
      <c r="B243" s="178"/>
      <c r="C243" s="179"/>
      <c r="D243" s="174"/>
      <c r="E243" s="72">
        <f t="shared" si="39"/>
        <v>49615.333</v>
      </c>
      <c r="F243" s="40">
        <v>41651.401</v>
      </c>
      <c r="G243" s="40">
        <f t="shared" si="40"/>
        <v>0</v>
      </c>
      <c r="H243" s="40"/>
      <c r="I243" s="40"/>
      <c r="J243" s="40">
        <v>7963.932</v>
      </c>
      <c r="K243" s="40">
        <v>0</v>
      </c>
      <c r="L243" s="13" t="s">
        <v>22</v>
      </c>
      <c r="M243" s="167"/>
    </row>
    <row r="244" spans="1:13" ht="29.25" customHeight="1">
      <c r="A244" s="175"/>
      <c r="B244" s="178"/>
      <c r="C244" s="179"/>
      <c r="D244" s="174"/>
      <c r="E244" s="72">
        <f t="shared" si="39"/>
        <v>11690.003</v>
      </c>
      <c r="F244" s="40">
        <v>0</v>
      </c>
      <c r="G244" s="40">
        <f t="shared" si="40"/>
        <v>0</v>
      </c>
      <c r="H244" s="40"/>
      <c r="I244" s="40"/>
      <c r="J244" s="40">
        <v>11690.003</v>
      </c>
      <c r="K244" s="40">
        <v>0</v>
      </c>
      <c r="L244" s="13" t="s">
        <v>37</v>
      </c>
      <c r="M244" s="167"/>
    </row>
    <row r="245" spans="1:13" ht="39.75" customHeight="1">
      <c r="A245" s="175"/>
      <c r="B245" s="180"/>
      <c r="C245" s="181"/>
      <c r="D245" s="174"/>
      <c r="E245" s="72">
        <f t="shared" si="39"/>
        <v>5944.418</v>
      </c>
      <c r="F245" s="40">
        <v>0</v>
      </c>
      <c r="G245" s="40">
        <f t="shared" si="40"/>
        <v>1139.636</v>
      </c>
      <c r="H245" s="40"/>
      <c r="I245" s="40">
        <v>1139.636</v>
      </c>
      <c r="J245" s="40">
        <v>4804.782</v>
      </c>
      <c r="K245" s="40">
        <v>0</v>
      </c>
      <c r="L245" s="13" t="s">
        <v>59</v>
      </c>
      <c r="M245" s="167"/>
    </row>
    <row r="246" spans="1:13" ht="27" customHeight="1">
      <c r="A246" s="243"/>
      <c r="B246" s="256" t="s">
        <v>43</v>
      </c>
      <c r="C246" s="256"/>
      <c r="D246" s="20">
        <v>2017</v>
      </c>
      <c r="E246" s="72">
        <f aca="true" t="shared" si="41" ref="E246:J246">E195+E204</f>
        <v>216780.416</v>
      </c>
      <c r="F246" s="72">
        <f t="shared" si="41"/>
        <v>124615.2</v>
      </c>
      <c r="G246" s="72">
        <f t="shared" si="41"/>
        <v>727</v>
      </c>
      <c r="H246" s="72">
        <f t="shared" si="41"/>
        <v>0</v>
      </c>
      <c r="I246" s="72">
        <f>I195+I204</f>
        <v>727</v>
      </c>
      <c r="J246" s="72">
        <f t="shared" si="41"/>
        <v>91438.216</v>
      </c>
      <c r="K246" s="72">
        <f>K204+K195+K187+K162+K161+K160+K159+K158+K157+K156+K123+K122</f>
        <v>0</v>
      </c>
      <c r="L246" s="18"/>
      <c r="M246" s="104"/>
    </row>
    <row r="247" spans="1:13" ht="27" customHeight="1">
      <c r="A247" s="243"/>
      <c r="B247" s="256"/>
      <c r="C247" s="256"/>
      <c r="D247" s="20">
        <v>2018</v>
      </c>
      <c r="E247" s="72">
        <f aca="true" t="shared" si="42" ref="E247:J247">E214+E206</f>
        <v>209116.99978</v>
      </c>
      <c r="F247" s="72">
        <f t="shared" si="42"/>
        <v>137344.5</v>
      </c>
      <c r="G247" s="72">
        <f t="shared" si="42"/>
        <v>1006.9820000000001</v>
      </c>
      <c r="H247" s="72">
        <f t="shared" si="42"/>
        <v>0</v>
      </c>
      <c r="I247" s="72">
        <f t="shared" si="42"/>
        <v>1006.9820000000001</v>
      </c>
      <c r="J247" s="72">
        <f t="shared" si="42"/>
        <v>70765.51778000001</v>
      </c>
      <c r="K247" s="72">
        <f>K206</f>
        <v>0</v>
      </c>
      <c r="L247" s="18"/>
      <c r="M247" s="104"/>
    </row>
    <row r="248" spans="1:13" ht="27" customHeight="1">
      <c r="A248" s="243"/>
      <c r="B248" s="256"/>
      <c r="C248" s="256"/>
      <c r="D248" s="20">
        <v>2019</v>
      </c>
      <c r="E248" s="72">
        <f>E220</f>
        <v>216918.23698</v>
      </c>
      <c r="F248" s="72">
        <f>F220</f>
        <v>144858</v>
      </c>
      <c r="G248" s="72">
        <f>H248+I248</f>
        <v>1139.636</v>
      </c>
      <c r="H248" s="72">
        <f>H220</f>
        <v>0</v>
      </c>
      <c r="I248" s="72">
        <f>I220</f>
        <v>1139.636</v>
      </c>
      <c r="J248" s="72">
        <f>J220</f>
        <v>70920.60098</v>
      </c>
      <c r="K248" s="72">
        <f>K220</f>
        <v>0</v>
      </c>
      <c r="L248" s="18"/>
      <c r="M248" s="104"/>
    </row>
    <row r="249" spans="1:13" ht="27" customHeight="1">
      <c r="A249" s="243"/>
      <c r="B249" s="256"/>
      <c r="C249" s="256"/>
      <c r="D249" s="20">
        <v>2020</v>
      </c>
      <c r="E249" s="72">
        <f>E230</f>
        <v>214948.897</v>
      </c>
      <c r="F249" s="72">
        <f>F230</f>
        <v>137561.4</v>
      </c>
      <c r="G249" s="72">
        <f>H249+I249</f>
        <v>1139.636</v>
      </c>
      <c r="H249" s="72">
        <v>0</v>
      </c>
      <c r="I249" s="72">
        <f>I230</f>
        <v>1139.636</v>
      </c>
      <c r="J249" s="72">
        <f>J230</f>
        <v>76247.861</v>
      </c>
      <c r="K249" s="72">
        <v>0</v>
      </c>
      <c r="L249" s="18"/>
      <c r="M249" s="104"/>
    </row>
    <row r="250" spans="1:13" ht="27" customHeight="1">
      <c r="A250" s="243"/>
      <c r="B250" s="256"/>
      <c r="C250" s="256"/>
      <c r="D250" s="20">
        <v>2021</v>
      </c>
      <c r="E250" s="72">
        <f>E238</f>
        <v>214872.097</v>
      </c>
      <c r="F250" s="72">
        <f>F238</f>
        <v>137562.7</v>
      </c>
      <c r="G250" s="72">
        <f>H250+I250</f>
        <v>1139.636</v>
      </c>
      <c r="H250" s="72">
        <f>H238</f>
        <v>0</v>
      </c>
      <c r="I250" s="72">
        <f>I238</f>
        <v>1139.636</v>
      </c>
      <c r="J250" s="72">
        <f>J238</f>
        <v>76169.76100000001</v>
      </c>
      <c r="K250" s="72">
        <f>K238</f>
        <v>0</v>
      </c>
      <c r="L250" s="18"/>
      <c r="M250" s="104"/>
    </row>
    <row r="251" spans="1:13" ht="27" customHeight="1">
      <c r="A251" s="288" t="s">
        <v>62</v>
      </c>
      <c r="B251" s="196"/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7"/>
    </row>
    <row r="252" spans="1:13" ht="27" customHeight="1">
      <c r="A252" s="204" t="s">
        <v>161</v>
      </c>
      <c r="B252" s="171"/>
      <c r="C252" s="171"/>
      <c r="D252" s="171"/>
      <c r="E252" s="171"/>
      <c r="F252" s="171"/>
      <c r="G252" s="171"/>
      <c r="H252" s="171"/>
      <c r="I252" s="171"/>
      <c r="J252" s="171"/>
      <c r="K252" s="171"/>
      <c r="L252" s="172"/>
      <c r="M252" s="104"/>
    </row>
    <row r="253" spans="1:13" ht="29.25" customHeight="1">
      <c r="A253" s="228" t="s">
        <v>27</v>
      </c>
      <c r="B253" s="229"/>
      <c r="C253" s="229"/>
      <c r="D253" s="229"/>
      <c r="E253" s="229"/>
      <c r="F253" s="229"/>
      <c r="G253" s="229"/>
      <c r="H253" s="229"/>
      <c r="I253" s="229"/>
      <c r="J253" s="229"/>
      <c r="K253" s="229"/>
      <c r="L253" s="229"/>
      <c r="M253" s="230"/>
    </row>
    <row r="254" spans="1:13" ht="24.75" customHeight="1">
      <c r="A254" s="175" t="s">
        <v>99</v>
      </c>
      <c r="B254" s="198" t="s">
        <v>162</v>
      </c>
      <c r="C254" s="199"/>
      <c r="D254" s="20">
        <v>2017</v>
      </c>
      <c r="E254" s="71">
        <f>F254+G254+J254+K254</f>
        <v>7260.311</v>
      </c>
      <c r="F254" s="22"/>
      <c r="G254" s="22">
        <f>H254+I254</f>
        <v>0</v>
      </c>
      <c r="H254" s="71">
        <v>0</v>
      </c>
      <c r="I254" s="71">
        <v>0</v>
      </c>
      <c r="J254" s="71">
        <v>7260.311</v>
      </c>
      <c r="K254" s="22">
        <v>0</v>
      </c>
      <c r="L254" s="13" t="s">
        <v>172</v>
      </c>
      <c r="M254" s="167" t="s">
        <v>72</v>
      </c>
    </row>
    <row r="255" spans="1:13" ht="24.75" customHeight="1">
      <c r="A255" s="175"/>
      <c r="B255" s="200"/>
      <c r="C255" s="201"/>
      <c r="D255" s="20">
        <v>2018</v>
      </c>
      <c r="E255" s="71">
        <f>F255+G255+J255+K255</f>
        <v>8308.2425</v>
      </c>
      <c r="F255" s="22"/>
      <c r="G255" s="22">
        <f>H255+I255</f>
        <v>0</v>
      </c>
      <c r="H255" s="71">
        <v>0</v>
      </c>
      <c r="I255" s="71">
        <v>0</v>
      </c>
      <c r="J255" s="71">
        <f>8213.1695+95.073</f>
        <v>8308.2425</v>
      </c>
      <c r="K255" s="22">
        <v>0</v>
      </c>
      <c r="L255" s="13" t="s">
        <v>172</v>
      </c>
      <c r="M255" s="167"/>
    </row>
    <row r="256" spans="1:13" ht="24.75" customHeight="1">
      <c r="A256" s="175"/>
      <c r="B256" s="200"/>
      <c r="C256" s="201"/>
      <c r="D256" s="20">
        <v>2019</v>
      </c>
      <c r="E256" s="71">
        <f>F256+G256+J256+K256</f>
        <v>8729.252</v>
      </c>
      <c r="F256" s="22"/>
      <c r="G256" s="22">
        <f>H256+I256</f>
        <v>0</v>
      </c>
      <c r="H256" s="71">
        <v>0</v>
      </c>
      <c r="I256" s="71">
        <v>0</v>
      </c>
      <c r="J256" s="71">
        <v>8729.252</v>
      </c>
      <c r="K256" s="22">
        <v>0</v>
      </c>
      <c r="L256" s="13" t="s">
        <v>172</v>
      </c>
      <c r="M256" s="167"/>
    </row>
    <row r="257" spans="1:13" ht="24.75" customHeight="1">
      <c r="A257" s="175"/>
      <c r="B257" s="200"/>
      <c r="C257" s="201"/>
      <c r="D257" s="20">
        <v>2020</v>
      </c>
      <c r="E257" s="71">
        <f>F257+G257+J257+K257</f>
        <v>7839.958</v>
      </c>
      <c r="F257" s="22"/>
      <c r="G257" s="22">
        <f>H257+I257</f>
        <v>0</v>
      </c>
      <c r="H257" s="71">
        <v>0</v>
      </c>
      <c r="I257" s="71">
        <v>0</v>
      </c>
      <c r="J257" s="71">
        <v>7839.958</v>
      </c>
      <c r="K257" s="22">
        <v>0</v>
      </c>
      <c r="L257" s="13" t="s">
        <v>172</v>
      </c>
      <c r="M257" s="167"/>
    </row>
    <row r="258" spans="1:13" ht="24.75" customHeight="1">
      <c r="A258" s="175"/>
      <c r="B258" s="202"/>
      <c r="C258" s="203"/>
      <c r="D258" s="20">
        <v>2021</v>
      </c>
      <c r="E258" s="71">
        <f>F258+G258+J258+K258</f>
        <v>7839.958</v>
      </c>
      <c r="F258" s="22"/>
      <c r="G258" s="22">
        <f>H258+I258</f>
        <v>0</v>
      </c>
      <c r="H258" s="71">
        <v>0</v>
      </c>
      <c r="I258" s="71">
        <v>0</v>
      </c>
      <c r="J258" s="71">
        <v>7839.958</v>
      </c>
      <c r="K258" s="22">
        <v>0</v>
      </c>
      <c r="L258" s="13" t="s">
        <v>172</v>
      </c>
      <c r="M258" s="167"/>
    </row>
    <row r="259" spans="1:13" ht="27" customHeight="1">
      <c r="A259" s="195" t="s">
        <v>23</v>
      </c>
      <c r="B259" s="196"/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7"/>
    </row>
    <row r="260" spans="1:13" ht="27" customHeight="1">
      <c r="A260" s="170" t="s">
        <v>28</v>
      </c>
      <c r="B260" s="171"/>
      <c r="C260" s="171"/>
      <c r="D260" s="171"/>
      <c r="E260" s="171"/>
      <c r="F260" s="171"/>
      <c r="G260" s="171"/>
      <c r="H260" s="171"/>
      <c r="I260" s="171"/>
      <c r="J260" s="171"/>
      <c r="K260" s="171"/>
      <c r="L260" s="171"/>
      <c r="M260" s="172"/>
    </row>
    <row r="261" spans="1:13" ht="27" customHeight="1">
      <c r="A261" s="158" t="s">
        <v>29</v>
      </c>
      <c r="B261" s="171"/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2"/>
    </row>
    <row r="262" spans="1:13" ht="24.75" customHeight="1">
      <c r="A262" s="175" t="s">
        <v>100</v>
      </c>
      <c r="B262" s="244" t="s">
        <v>163</v>
      </c>
      <c r="C262" s="244"/>
      <c r="D262" s="20">
        <v>2017</v>
      </c>
      <c r="E262" s="12">
        <f aca="true" t="shared" si="43" ref="E262:E277">F262+G262+J262+K262</f>
        <v>292.4</v>
      </c>
      <c r="F262" s="12">
        <v>292.4</v>
      </c>
      <c r="G262" s="12">
        <f>H262+I262</f>
        <v>0</v>
      </c>
      <c r="H262" s="12"/>
      <c r="I262" s="12">
        <v>0</v>
      </c>
      <c r="J262" s="41">
        <v>0</v>
      </c>
      <c r="K262" s="41">
        <v>0</v>
      </c>
      <c r="L262" s="13" t="s">
        <v>3</v>
      </c>
      <c r="M262" s="167" t="s">
        <v>63</v>
      </c>
    </row>
    <row r="263" spans="1:13" ht="24.75" customHeight="1">
      <c r="A263" s="175"/>
      <c r="B263" s="244"/>
      <c r="C263" s="244"/>
      <c r="D263" s="20">
        <v>2018</v>
      </c>
      <c r="E263" s="12">
        <f t="shared" si="43"/>
        <v>233.2</v>
      </c>
      <c r="F263" s="12">
        <v>233.2</v>
      </c>
      <c r="G263" s="12">
        <f aca="true" t="shared" si="44" ref="G263:G276">H263+I263</f>
        <v>0</v>
      </c>
      <c r="H263" s="12"/>
      <c r="I263" s="12">
        <v>0</v>
      </c>
      <c r="J263" s="41">
        <v>0</v>
      </c>
      <c r="K263" s="41">
        <v>0</v>
      </c>
      <c r="L263" s="13" t="s">
        <v>3</v>
      </c>
      <c r="M263" s="277"/>
    </row>
    <row r="264" spans="1:13" ht="24.75" customHeight="1">
      <c r="A264" s="175"/>
      <c r="B264" s="244"/>
      <c r="C264" s="244"/>
      <c r="D264" s="20">
        <v>2019</v>
      </c>
      <c r="E264" s="12">
        <f t="shared" si="43"/>
        <v>281.9</v>
      </c>
      <c r="F264" s="12">
        <v>281.9</v>
      </c>
      <c r="G264" s="12">
        <f t="shared" si="44"/>
        <v>0</v>
      </c>
      <c r="H264" s="12"/>
      <c r="I264" s="12">
        <v>0</v>
      </c>
      <c r="J264" s="41">
        <v>0</v>
      </c>
      <c r="K264" s="41">
        <v>0</v>
      </c>
      <c r="L264" s="13" t="s">
        <v>3</v>
      </c>
      <c r="M264" s="277"/>
    </row>
    <row r="265" spans="1:13" ht="24.75" customHeight="1">
      <c r="A265" s="175"/>
      <c r="B265" s="244"/>
      <c r="C265" s="244"/>
      <c r="D265" s="20">
        <v>2020</v>
      </c>
      <c r="E265" s="12">
        <f>F265+G265+J265+K265</f>
        <v>281.9</v>
      </c>
      <c r="F265" s="12">
        <v>281.9</v>
      </c>
      <c r="G265" s="12">
        <f>H265+I265</f>
        <v>0</v>
      </c>
      <c r="H265" s="12"/>
      <c r="I265" s="12">
        <v>0</v>
      </c>
      <c r="J265" s="41">
        <v>0</v>
      </c>
      <c r="K265" s="41">
        <v>0</v>
      </c>
      <c r="L265" s="13" t="s">
        <v>3</v>
      </c>
      <c r="M265" s="277"/>
    </row>
    <row r="266" spans="1:13" ht="24.75" customHeight="1">
      <c r="A266" s="175"/>
      <c r="B266" s="244"/>
      <c r="C266" s="244"/>
      <c r="D266" s="20">
        <v>2021</v>
      </c>
      <c r="E266" s="12">
        <f t="shared" si="43"/>
        <v>281.9</v>
      </c>
      <c r="F266" s="12">
        <v>281.9</v>
      </c>
      <c r="G266" s="12">
        <f t="shared" si="44"/>
        <v>0</v>
      </c>
      <c r="H266" s="12"/>
      <c r="I266" s="12">
        <v>0</v>
      </c>
      <c r="J266" s="41">
        <v>0</v>
      </c>
      <c r="K266" s="41">
        <v>0</v>
      </c>
      <c r="L266" s="13" t="s">
        <v>3</v>
      </c>
      <c r="M266" s="277"/>
    </row>
    <row r="267" spans="1:13" ht="24.75" customHeight="1">
      <c r="A267" s="175" t="s">
        <v>101</v>
      </c>
      <c r="B267" s="167" t="s">
        <v>164</v>
      </c>
      <c r="C267" s="167"/>
      <c r="D267" s="20">
        <v>2017</v>
      </c>
      <c r="E267" s="12">
        <f t="shared" si="43"/>
        <v>96.8</v>
      </c>
      <c r="F267" s="12">
        <v>0</v>
      </c>
      <c r="G267" s="12">
        <f t="shared" si="44"/>
        <v>96.8</v>
      </c>
      <c r="H267" s="12"/>
      <c r="I267" s="12">
        <v>96.8</v>
      </c>
      <c r="J267" s="41">
        <v>0</v>
      </c>
      <c r="K267" s="41">
        <v>0</v>
      </c>
      <c r="L267" s="13" t="s">
        <v>3</v>
      </c>
      <c r="M267" s="167" t="s">
        <v>64</v>
      </c>
    </row>
    <row r="268" spans="1:13" ht="24.75" customHeight="1">
      <c r="A268" s="175"/>
      <c r="B268" s="167"/>
      <c r="C268" s="167"/>
      <c r="D268" s="20">
        <v>2018</v>
      </c>
      <c r="E268" s="12">
        <f t="shared" si="43"/>
        <v>127.3</v>
      </c>
      <c r="F268" s="12">
        <v>0</v>
      </c>
      <c r="G268" s="12">
        <f t="shared" si="44"/>
        <v>127.3</v>
      </c>
      <c r="H268" s="12"/>
      <c r="I268" s="12">
        <v>127.3</v>
      </c>
      <c r="J268" s="41">
        <v>0</v>
      </c>
      <c r="K268" s="41">
        <v>0</v>
      </c>
      <c r="L268" s="13" t="s">
        <v>3</v>
      </c>
      <c r="M268" s="167"/>
    </row>
    <row r="269" spans="1:13" ht="24.75" customHeight="1">
      <c r="A269" s="175"/>
      <c r="B269" s="167"/>
      <c r="C269" s="167"/>
      <c r="D269" s="20">
        <v>2019</v>
      </c>
      <c r="E269" s="12">
        <f t="shared" si="43"/>
        <v>132.7</v>
      </c>
      <c r="F269" s="12">
        <v>0</v>
      </c>
      <c r="G269" s="12">
        <f t="shared" si="44"/>
        <v>132.7</v>
      </c>
      <c r="H269" s="12"/>
      <c r="I269" s="12">
        <v>132.7</v>
      </c>
      <c r="J269" s="41">
        <v>0</v>
      </c>
      <c r="K269" s="41">
        <v>0</v>
      </c>
      <c r="L269" s="13" t="s">
        <v>3</v>
      </c>
      <c r="M269" s="167"/>
    </row>
    <row r="270" spans="1:13" ht="24.75" customHeight="1">
      <c r="A270" s="175"/>
      <c r="B270" s="167"/>
      <c r="C270" s="167"/>
      <c r="D270" s="20">
        <v>2020</v>
      </c>
      <c r="E270" s="12">
        <f>F270+G270+J270+K270</f>
        <v>132.7</v>
      </c>
      <c r="F270" s="12">
        <v>0</v>
      </c>
      <c r="G270" s="12">
        <f>H270+I270</f>
        <v>132.7</v>
      </c>
      <c r="H270" s="12"/>
      <c r="I270" s="12">
        <v>132.7</v>
      </c>
      <c r="J270" s="41">
        <v>0</v>
      </c>
      <c r="K270" s="41">
        <v>0</v>
      </c>
      <c r="L270" s="13" t="s">
        <v>3</v>
      </c>
      <c r="M270" s="167"/>
    </row>
    <row r="271" spans="1:13" ht="24.75" customHeight="1">
      <c r="A271" s="175"/>
      <c r="B271" s="167"/>
      <c r="C271" s="167"/>
      <c r="D271" s="20">
        <v>2021</v>
      </c>
      <c r="E271" s="12">
        <f t="shared" si="43"/>
        <v>132.7</v>
      </c>
      <c r="F271" s="12">
        <v>0</v>
      </c>
      <c r="G271" s="12">
        <f t="shared" si="44"/>
        <v>132.7</v>
      </c>
      <c r="H271" s="12"/>
      <c r="I271" s="12">
        <v>132.7</v>
      </c>
      <c r="J271" s="41">
        <v>0</v>
      </c>
      <c r="K271" s="41">
        <v>0</v>
      </c>
      <c r="L271" s="13" t="s">
        <v>3</v>
      </c>
      <c r="M271" s="167"/>
    </row>
    <row r="272" spans="1:13" ht="24.75" customHeight="1">
      <c r="A272" s="175" t="s">
        <v>102</v>
      </c>
      <c r="B272" s="167" t="s">
        <v>165</v>
      </c>
      <c r="C272" s="167"/>
      <c r="D272" s="20">
        <v>2017</v>
      </c>
      <c r="E272" s="12">
        <f t="shared" si="43"/>
        <v>5391.1</v>
      </c>
      <c r="F272" s="12">
        <v>5391.1</v>
      </c>
      <c r="G272" s="12">
        <f t="shared" si="44"/>
        <v>0</v>
      </c>
      <c r="H272" s="12"/>
      <c r="I272" s="12">
        <v>0</v>
      </c>
      <c r="J272" s="41">
        <v>0</v>
      </c>
      <c r="K272" s="41">
        <v>0</v>
      </c>
      <c r="L272" s="13" t="s">
        <v>3</v>
      </c>
      <c r="M272" s="167" t="s">
        <v>65</v>
      </c>
    </row>
    <row r="273" spans="1:13" ht="24.75" customHeight="1">
      <c r="A273" s="175"/>
      <c r="B273" s="167"/>
      <c r="C273" s="167"/>
      <c r="D273" s="20">
        <v>2018</v>
      </c>
      <c r="E273" s="12">
        <f t="shared" si="43"/>
        <v>5870.4</v>
      </c>
      <c r="F273" s="12">
        <v>5870.4</v>
      </c>
      <c r="G273" s="12">
        <f t="shared" si="44"/>
        <v>0</v>
      </c>
      <c r="H273" s="12"/>
      <c r="I273" s="12">
        <v>0</v>
      </c>
      <c r="J273" s="41">
        <v>0</v>
      </c>
      <c r="K273" s="41">
        <v>0</v>
      </c>
      <c r="L273" s="13" t="s">
        <v>3</v>
      </c>
      <c r="M273" s="167"/>
    </row>
    <row r="274" spans="1:13" ht="24.75" customHeight="1">
      <c r="A274" s="175"/>
      <c r="B274" s="167"/>
      <c r="C274" s="167"/>
      <c r="D274" s="20">
        <v>2019</v>
      </c>
      <c r="E274" s="12">
        <f t="shared" si="43"/>
        <v>5735.3</v>
      </c>
      <c r="F274" s="12">
        <v>5735.3</v>
      </c>
      <c r="G274" s="12">
        <f t="shared" si="44"/>
        <v>0</v>
      </c>
      <c r="H274" s="12"/>
      <c r="I274" s="12">
        <v>0</v>
      </c>
      <c r="J274" s="41">
        <v>0</v>
      </c>
      <c r="K274" s="41">
        <v>0</v>
      </c>
      <c r="L274" s="13" t="s">
        <v>3</v>
      </c>
      <c r="M274" s="167"/>
    </row>
    <row r="275" spans="1:13" ht="24.75" customHeight="1">
      <c r="A275" s="175"/>
      <c r="B275" s="167"/>
      <c r="C275" s="167"/>
      <c r="D275" s="20">
        <v>2020</v>
      </c>
      <c r="E275" s="12">
        <f>F275+G275+J275+K275</f>
        <v>5735.3</v>
      </c>
      <c r="F275" s="12">
        <v>5735.3</v>
      </c>
      <c r="G275" s="12">
        <f>H275+I275</f>
        <v>0</v>
      </c>
      <c r="H275" s="12"/>
      <c r="I275" s="12">
        <v>0</v>
      </c>
      <c r="J275" s="41">
        <v>0</v>
      </c>
      <c r="K275" s="41">
        <v>0</v>
      </c>
      <c r="L275" s="13" t="s">
        <v>3</v>
      </c>
      <c r="M275" s="167"/>
    </row>
    <row r="276" spans="1:13" ht="24.75" customHeight="1" thickBot="1">
      <c r="A276" s="248"/>
      <c r="B276" s="188"/>
      <c r="C276" s="188"/>
      <c r="D276" s="102">
        <v>2021</v>
      </c>
      <c r="E276" s="107">
        <f t="shared" si="43"/>
        <v>5735.3</v>
      </c>
      <c r="F276" s="107">
        <v>5735.3</v>
      </c>
      <c r="G276" s="107">
        <f t="shared" si="44"/>
        <v>0</v>
      </c>
      <c r="H276" s="107"/>
      <c r="I276" s="107">
        <v>0</v>
      </c>
      <c r="J276" s="108">
        <v>0</v>
      </c>
      <c r="K276" s="108">
        <v>0</v>
      </c>
      <c r="L276" s="109" t="s">
        <v>3</v>
      </c>
      <c r="M276" s="188"/>
    </row>
    <row r="277" spans="1:13" ht="30.75" customHeight="1">
      <c r="A277" s="233"/>
      <c r="B277" s="236" t="s">
        <v>38</v>
      </c>
      <c r="C277" s="236"/>
      <c r="D277" s="110">
        <v>2017</v>
      </c>
      <c r="E277" s="111">
        <f t="shared" si="43"/>
        <v>5780.3</v>
      </c>
      <c r="F277" s="111">
        <f>F262+F267+F272</f>
        <v>5683.5</v>
      </c>
      <c r="G277" s="111">
        <f>H277+I277</f>
        <v>96.8</v>
      </c>
      <c r="H277" s="111">
        <f aca="true" t="shared" si="45" ref="H277:I281">H262+H267+H272</f>
        <v>0</v>
      </c>
      <c r="I277" s="111">
        <f t="shared" si="45"/>
        <v>96.8</v>
      </c>
      <c r="J277" s="111">
        <v>0</v>
      </c>
      <c r="K277" s="111">
        <v>0</v>
      </c>
      <c r="L277" s="112"/>
      <c r="M277" s="113"/>
    </row>
    <row r="278" spans="1:13" ht="30.75" customHeight="1">
      <c r="A278" s="234"/>
      <c r="B278" s="237"/>
      <c r="C278" s="237"/>
      <c r="D278" s="20">
        <v>2018</v>
      </c>
      <c r="E278" s="29">
        <f>F278+G278+J278+K278</f>
        <v>6230.9</v>
      </c>
      <c r="F278" s="29">
        <f>F263+F268+F273</f>
        <v>6103.599999999999</v>
      </c>
      <c r="G278" s="29">
        <f>H278+I278</f>
        <v>127.3</v>
      </c>
      <c r="H278" s="29">
        <f t="shared" si="45"/>
        <v>0</v>
      </c>
      <c r="I278" s="29">
        <f t="shared" si="45"/>
        <v>127.3</v>
      </c>
      <c r="J278" s="29">
        <v>0</v>
      </c>
      <c r="K278" s="29">
        <v>0</v>
      </c>
      <c r="L278" s="13"/>
      <c r="M278" s="114"/>
    </row>
    <row r="279" spans="1:13" ht="30.75" customHeight="1">
      <c r="A279" s="234"/>
      <c r="B279" s="237"/>
      <c r="C279" s="237"/>
      <c r="D279" s="20">
        <v>2019</v>
      </c>
      <c r="E279" s="29">
        <f>F279+G279+J279+K279</f>
        <v>6149.9</v>
      </c>
      <c r="F279" s="29">
        <f>F264+F269+F274</f>
        <v>6017.2</v>
      </c>
      <c r="G279" s="29">
        <f>H279+I279</f>
        <v>132.7</v>
      </c>
      <c r="H279" s="29">
        <f t="shared" si="45"/>
        <v>0</v>
      </c>
      <c r="I279" s="29">
        <f t="shared" si="45"/>
        <v>132.7</v>
      </c>
      <c r="J279" s="29">
        <v>0</v>
      </c>
      <c r="K279" s="29">
        <v>0</v>
      </c>
      <c r="L279" s="13"/>
      <c r="M279" s="114"/>
    </row>
    <row r="280" spans="1:13" ht="30.75" customHeight="1">
      <c r="A280" s="234"/>
      <c r="B280" s="237"/>
      <c r="C280" s="237"/>
      <c r="D280" s="20">
        <v>2020</v>
      </c>
      <c r="E280" s="29">
        <f>F280+G280+J280+K280</f>
        <v>6149.9</v>
      </c>
      <c r="F280" s="29">
        <f>F265+F270+F275</f>
        <v>6017.2</v>
      </c>
      <c r="G280" s="29">
        <f>H280+I280</f>
        <v>132.7</v>
      </c>
      <c r="H280" s="29">
        <f t="shared" si="45"/>
        <v>0</v>
      </c>
      <c r="I280" s="29">
        <f t="shared" si="45"/>
        <v>132.7</v>
      </c>
      <c r="J280" s="29">
        <v>0</v>
      </c>
      <c r="K280" s="29">
        <v>0</v>
      </c>
      <c r="L280" s="13"/>
      <c r="M280" s="114"/>
    </row>
    <row r="281" spans="1:13" ht="30.75" customHeight="1" thickBot="1">
      <c r="A281" s="235"/>
      <c r="B281" s="238"/>
      <c r="C281" s="238"/>
      <c r="D281" s="115">
        <v>2021</v>
      </c>
      <c r="E281" s="116">
        <f>F281+G281+J281+K281</f>
        <v>6149.9</v>
      </c>
      <c r="F281" s="116">
        <f>F266+F271+F276</f>
        <v>6017.2</v>
      </c>
      <c r="G281" s="116">
        <f>H281+I281</f>
        <v>132.7</v>
      </c>
      <c r="H281" s="116">
        <f t="shared" si="45"/>
        <v>0</v>
      </c>
      <c r="I281" s="116">
        <f t="shared" si="45"/>
        <v>132.7</v>
      </c>
      <c r="J281" s="116">
        <v>0</v>
      </c>
      <c r="K281" s="116">
        <v>0</v>
      </c>
      <c r="L281" s="117"/>
      <c r="M281" s="118"/>
    </row>
    <row r="282" spans="1:13" ht="30.75" customHeight="1">
      <c r="A282" s="245" t="s">
        <v>179</v>
      </c>
      <c r="B282" s="246"/>
      <c r="C282" s="246"/>
      <c r="D282" s="246"/>
      <c r="E282" s="246"/>
      <c r="F282" s="246"/>
      <c r="G282" s="246"/>
      <c r="H282" s="246"/>
      <c r="I282" s="246"/>
      <c r="J282" s="246"/>
      <c r="K282" s="246"/>
      <c r="L282" s="246"/>
      <c r="M282" s="247"/>
    </row>
    <row r="283" spans="1:13" ht="42.75" customHeight="1">
      <c r="A283" s="170" t="s">
        <v>180</v>
      </c>
      <c r="B283" s="171"/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2"/>
    </row>
    <row r="284" spans="1:13" ht="30.75" customHeight="1" thickBot="1">
      <c r="A284" s="158" t="s">
        <v>181</v>
      </c>
      <c r="B284" s="159"/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  <c r="M284" s="160"/>
    </row>
    <row r="285" spans="1:13" ht="30.75" customHeight="1">
      <c r="A285" s="161" t="s">
        <v>174</v>
      </c>
      <c r="B285" s="222" t="s">
        <v>177</v>
      </c>
      <c r="C285" s="223"/>
      <c r="D285" s="124">
        <v>2019</v>
      </c>
      <c r="E285" s="125">
        <f aca="true" t="shared" si="46" ref="E285:J285">E286+E287</f>
        <v>1656.3999999999999</v>
      </c>
      <c r="F285" s="125">
        <f t="shared" si="46"/>
        <v>0</v>
      </c>
      <c r="G285" s="131">
        <f>H285+I285</f>
        <v>1656.3999999999999</v>
      </c>
      <c r="H285" s="125">
        <f t="shared" si="46"/>
        <v>1623.3</v>
      </c>
      <c r="I285" s="125">
        <f t="shared" si="46"/>
        <v>33.1</v>
      </c>
      <c r="J285" s="125">
        <f t="shared" si="46"/>
        <v>0</v>
      </c>
      <c r="K285" s="125">
        <f>K286+K287</f>
        <v>0</v>
      </c>
      <c r="L285" s="112" t="s">
        <v>3</v>
      </c>
      <c r="M285" s="164" t="s">
        <v>128</v>
      </c>
    </row>
    <row r="286" spans="1:13" ht="30.75" customHeight="1">
      <c r="A286" s="162"/>
      <c r="B286" s="224"/>
      <c r="C286" s="225"/>
      <c r="D286" s="106"/>
      <c r="E286" s="31">
        <f>F286+G286+J286+K286</f>
        <v>1656.3999999999999</v>
      </c>
      <c r="F286" s="32"/>
      <c r="G286" s="45">
        <f>H286+I286</f>
        <v>1656.3999999999999</v>
      </c>
      <c r="H286" s="31">
        <v>1623.3</v>
      </c>
      <c r="I286" s="31">
        <v>33.1</v>
      </c>
      <c r="J286" s="31">
        <v>0</v>
      </c>
      <c r="K286" s="62">
        <v>0</v>
      </c>
      <c r="L286" s="13" t="s">
        <v>51</v>
      </c>
      <c r="M286" s="165"/>
    </row>
    <row r="287" spans="1:13" ht="30.75" customHeight="1" thickBot="1">
      <c r="A287" s="163"/>
      <c r="B287" s="226"/>
      <c r="C287" s="227"/>
      <c r="D287" s="127"/>
      <c r="E287" s="128">
        <f>F287+G287+J287+K287</f>
        <v>0</v>
      </c>
      <c r="F287" s="132"/>
      <c r="G287" s="133">
        <f>H287+I287</f>
        <v>0</v>
      </c>
      <c r="H287" s="128">
        <v>0</v>
      </c>
      <c r="I287" s="128">
        <v>0</v>
      </c>
      <c r="J287" s="128">
        <v>0</v>
      </c>
      <c r="K287" s="129">
        <v>0</v>
      </c>
      <c r="L287" s="117"/>
      <c r="M287" s="165"/>
    </row>
    <row r="288" spans="1:13" ht="30.75" customHeight="1">
      <c r="A288" s="161" t="s">
        <v>175</v>
      </c>
      <c r="B288" s="249" t="s">
        <v>148</v>
      </c>
      <c r="C288" s="250"/>
      <c r="D288" s="124">
        <v>2019</v>
      </c>
      <c r="E288" s="125">
        <f aca="true" t="shared" si="47" ref="E288:J288">E289+E290</f>
        <v>16.731</v>
      </c>
      <c r="F288" s="125">
        <f t="shared" si="47"/>
        <v>0</v>
      </c>
      <c r="G288" s="125">
        <f t="shared" si="47"/>
        <v>0</v>
      </c>
      <c r="H288" s="125">
        <f t="shared" si="47"/>
        <v>0</v>
      </c>
      <c r="I288" s="125">
        <f t="shared" si="47"/>
        <v>0</v>
      </c>
      <c r="J288" s="125">
        <f t="shared" si="47"/>
        <v>16.731</v>
      </c>
      <c r="K288" s="126"/>
      <c r="L288" s="112" t="s">
        <v>3</v>
      </c>
      <c r="M288" s="165"/>
    </row>
    <row r="289" spans="1:13" ht="30.75" customHeight="1">
      <c r="A289" s="162"/>
      <c r="B289" s="251"/>
      <c r="C289" s="167"/>
      <c r="D289" s="106"/>
      <c r="E289" s="31">
        <f>F289+G289+J289+K289</f>
        <v>16.731</v>
      </c>
      <c r="F289" s="31"/>
      <c r="G289" s="31">
        <f>G290+G106</f>
        <v>0</v>
      </c>
      <c r="H289" s="31"/>
      <c r="I289" s="31"/>
      <c r="J289" s="31">
        <v>16.731</v>
      </c>
      <c r="K289" s="62">
        <v>0</v>
      </c>
      <c r="L289" s="13" t="s">
        <v>51</v>
      </c>
      <c r="M289" s="165"/>
    </row>
    <row r="290" spans="1:13" ht="30.75" customHeight="1" thickBot="1">
      <c r="A290" s="163"/>
      <c r="B290" s="252"/>
      <c r="C290" s="253"/>
      <c r="D290" s="127"/>
      <c r="E290" s="128">
        <f>F290+G290+J290+K290</f>
        <v>0</v>
      </c>
      <c r="F290" s="128"/>
      <c r="G290" s="128">
        <f>G106+G107</f>
        <v>0</v>
      </c>
      <c r="H290" s="128"/>
      <c r="I290" s="128"/>
      <c r="J290" s="128">
        <v>0</v>
      </c>
      <c r="K290" s="129">
        <v>0</v>
      </c>
      <c r="L290" s="130"/>
      <c r="M290" s="166"/>
    </row>
    <row r="291" spans="1:13" ht="30.75" customHeight="1">
      <c r="A291" s="155"/>
      <c r="B291" s="149" t="s">
        <v>176</v>
      </c>
      <c r="C291" s="150"/>
      <c r="D291" s="142">
        <v>2019</v>
      </c>
      <c r="E291" s="143">
        <f aca="true" t="shared" si="48" ref="E291:J291">E288+E285</f>
        <v>1673.1309999999999</v>
      </c>
      <c r="F291" s="143">
        <f t="shared" si="48"/>
        <v>0</v>
      </c>
      <c r="G291" s="143">
        <f t="shared" si="48"/>
        <v>1656.3999999999999</v>
      </c>
      <c r="H291" s="143">
        <f t="shared" si="48"/>
        <v>1623.3</v>
      </c>
      <c r="I291" s="143">
        <f t="shared" si="48"/>
        <v>33.1</v>
      </c>
      <c r="J291" s="143">
        <f t="shared" si="48"/>
        <v>16.731</v>
      </c>
      <c r="K291" s="143">
        <f>K288+K285</f>
        <v>0</v>
      </c>
      <c r="L291" s="137"/>
      <c r="M291" s="134"/>
    </row>
    <row r="292" spans="1:13" ht="30.75" customHeight="1">
      <c r="A292" s="156"/>
      <c r="B292" s="151"/>
      <c r="C292" s="152"/>
      <c r="D292" s="106"/>
      <c r="E292" s="31"/>
      <c r="F292" s="31"/>
      <c r="G292" s="31"/>
      <c r="H292" s="31"/>
      <c r="I292" s="31"/>
      <c r="J292" s="31"/>
      <c r="K292" s="62"/>
      <c r="L292" s="14"/>
      <c r="M292" s="135"/>
    </row>
    <row r="293" spans="1:13" ht="30.75" customHeight="1" thickBot="1">
      <c r="A293" s="157"/>
      <c r="B293" s="153"/>
      <c r="C293" s="154"/>
      <c r="D293" s="138"/>
      <c r="E293" s="139"/>
      <c r="F293" s="139"/>
      <c r="G293" s="139"/>
      <c r="H293" s="139"/>
      <c r="I293" s="139"/>
      <c r="J293" s="139"/>
      <c r="K293" s="140"/>
      <c r="L293" s="141"/>
      <c r="M293" s="136"/>
    </row>
    <row r="294" spans="1:13" ht="52.5" customHeight="1">
      <c r="A294" s="243"/>
      <c r="B294" s="294" t="s">
        <v>32</v>
      </c>
      <c r="C294" s="295"/>
      <c r="D294" s="119" t="s">
        <v>123</v>
      </c>
      <c r="E294" s="120">
        <f aca="true" t="shared" si="49" ref="E294:J294">SUM(E295:E299)</f>
        <v>1259614.87827</v>
      </c>
      <c r="F294" s="120">
        <f t="shared" si="49"/>
        <v>711780.5</v>
      </c>
      <c r="G294" s="120">
        <f t="shared" si="49"/>
        <v>9715.189999999999</v>
      </c>
      <c r="H294" s="120">
        <f t="shared" si="49"/>
        <v>1623.3</v>
      </c>
      <c r="I294" s="120">
        <f t="shared" si="49"/>
        <v>8091.889999999999</v>
      </c>
      <c r="J294" s="120">
        <f t="shared" si="49"/>
        <v>538119.18827</v>
      </c>
      <c r="K294" s="121">
        <v>0</v>
      </c>
      <c r="L294" s="122"/>
      <c r="M294" s="123"/>
    </row>
    <row r="295" spans="1:13" ht="33" customHeight="1">
      <c r="A295" s="243"/>
      <c r="B295" s="296"/>
      <c r="C295" s="297"/>
      <c r="D295" s="74">
        <v>2017</v>
      </c>
      <c r="E295" s="29">
        <f>F295+G295+J295+K295</f>
        <v>259771.653</v>
      </c>
      <c r="F295" s="75">
        <f aca="true" t="shared" si="50" ref="F295:K295">F113+F187+F246+F254+F277</f>
        <v>130298.7</v>
      </c>
      <c r="G295" s="75">
        <f t="shared" si="50"/>
        <v>1029</v>
      </c>
      <c r="H295" s="75">
        <f t="shared" si="50"/>
        <v>0</v>
      </c>
      <c r="I295" s="75">
        <f t="shared" si="50"/>
        <v>1029</v>
      </c>
      <c r="J295" s="75">
        <f t="shared" si="50"/>
        <v>128443.953</v>
      </c>
      <c r="K295" s="75">
        <f t="shared" si="50"/>
        <v>0</v>
      </c>
      <c r="L295" s="76"/>
      <c r="M295" s="104"/>
    </row>
    <row r="296" spans="1:13" ht="30.75" customHeight="1">
      <c r="A296" s="243"/>
      <c r="B296" s="296"/>
      <c r="C296" s="297"/>
      <c r="D296" s="74">
        <v>2018</v>
      </c>
      <c r="E296" s="29">
        <f>F296+G296+J296+K296</f>
        <v>256780.11129000003</v>
      </c>
      <c r="F296" s="75">
        <f>F114+F188+F247+F255+F278</f>
        <v>143448.1</v>
      </c>
      <c r="G296" s="75">
        <f>G114+G188+G247+G255+G278</f>
        <v>1296.482</v>
      </c>
      <c r="H296" s="75">
        <f>H114+H188+H247+H255+H278</f>
        <v>0</v>
      </c>
      <c r="I296" s="75">
        <f>I278+I255+I247+I188+I114</f>
        <v>1296.4820000000002</v>
      </c>
      <c r="J296" s="25">
        <f>J278+J255+J247+J188+J114</f>
        <v>112035.52929000002</v>
      </c>
      <c r="K296" s="75">
        <f>K114+K188+K247+K255+K278</f>
        <v>0</v>
      </c>
      <c r="L296" s="76"/>
      <c r="M296" s="104"/>
    </row>
    <row r="297" spans="1:13" ht="30.75" customHeight="1">
      <c r="A297" s="243"/>
      <c r="B297" s="296"/>
      <c r="C297" s="297"/>
      <c r="D297" s="74">
        <v>2019</v>
      </c>
      <c r="E297" s="29">
        <f aca="true" t="shared" si="51" ref="E297:K297">E115+E189+E248+E256+E279+E291</f>
        <v>268304.50398</v>
      </c>
      <c r="F297" s="29">
        <f t="shared" si="51"/>
        <v>150875.2</v>
      </c>
      <c r="G297" s="29">
        <f t="shared" si="51"/>
        <v>3882.8359999999993</v>
      </c>
      <c r="H297" s="29">
        <f t="shared" si="51"/>
        <v>1623.3</v>
      </c>
      <c r="I297" s="29">
        <f t="shared" si="51"/>
        <v>2259.5359999999996</v>
      </c>
      <c r="J297" s="29">
        <f t="shared" si="51"/>
        <v>113546.46798000002</v>
      </c>
      <c r="K297" s="29">
        <f t="shared" si="51"/>
        <v>0</v>
      </c>
      <c r="L297" s="77"/>
      <c r="M297" s="104"/>
    </row>
    <row r="298" spans="1:13" ht="30.75" customHeight="1">
      <c r="A298" s="243"/>
      <c r="B298" s="296"/>
      <c r="C298" s="297"/>
      <c r="D298" s="74">
        <v>2020</v>
      </c>
      <c r="E298" s="29">
        <f>F298+G298+J298+K298</f>
        <v>239943.95500000002</v>
      </c>
      <c r="F298" s="75">
        <f>F116+F190+F249+F257+F280</f>
        <v>143578.6</v>
      </c>
      <c r="G298" s="75">
        <f>H298+I298</f>
        <v>1753.436</v>
      </c>
      <c r="H298" s="75">
        <f aca="true" t="shared" si="52" ref="H298:K299">H116+H190+H249+H257+H280</f>
        <v>0</v>
      </c>
      <c r="I298" s="75">
        <f t="shared" si="52"/>
        <v>1753.436</v>
      </c>
      <c r="J298" s="25">
        <f t="shared" si="52"/>
        <v>94611.91900000001</v>
      </c>
      <c r="K298" s="75">
        <f t="shared" si="52"/>
        <v>0</v>
      </c>
      <c r="L298" s="76"/>
      <c r="M298" s="104"/>
    </row>
    <row r="299" spans="1:13" ht="27" customHeight="1">
      <c r="A299" s="243"/>
      <c r="B299" s="298"/>
      <c r="C299" s="299"/>
      <c r="D299" s="74">
        <v>2021</v>
      </c>
      <c r="E299" s="29">
        <f>F299+G299+J299+K299</f>
        <v>234814.65500000003</v>
      </c>
      <c r="F299" s="75">
        <f>F117+F191+F250+F258+F281</f>
        <v>143579.90000000002</v>
      </c>
      <c r="G299" s="75">
        <f>H299+I299</f>
        <v>1753.436</v>
      </c>
      <c r="H299" s="75">
        <f t="shared" si="52"/>
        <v>0</v>
      </c>
      <c r="I299" s="75">
        <f t="shared" si="52"/>
        <v>1753.436</v>
      </c>
      <c r="J299" s="25">
        <f t="shared" si="52"/>
        <v>89481.31900000002</v>
      </c>
      <c r="K299" s="75">
        <f t="shared" si="52"/>
        <v>0</v>
      </c>
      <c r="L299" s="76"/>
      <c r="M299" s="104"/>
    </row>
    <row r="300" spans="2:11" ht="25.5" customHeight="1" hidden="1">
      <c r="B300" s="216"/>
      <c r="C300" s="217"/>
      <c r="D300" s="2"/>
      <c r="E300" s="86"/>
      <c r="F300" s="3"/>
      <c r="G300" s="3"/>
      <c r="H300" s="4"/>
      <c r="I300" s="1"/>
      <c r="J300" s="4"/>
      <c r="K300" s="4"/>
    </row>
    <row r="301" spans="2:11" ht="25.5" customHeight="1" hidden="1">
      <c r="B301" s="218"/>
      <c r="C301" s="219"/>
      <c r="D301" s="2"/>
      <c r="E301" s="86"/>
      <c r="F301" s="5"/>
      <c r="G301" s="5"/>
      <c r="H301" s="1"/>
      <c r="I301" s="6"/>
      <c r="J301" s="1" t="s">
        <v>18</v>
      </c>
      <c r="K301" s="1"/>
    </row>
    <row r="302" spans="2:11" ht="15.75" customHeight="1" hidden="1">
      <c r="B302" s="218"/>
      <c r="C302" s="219"/>
      <c r="D302" s="2"/>
      <c r="E302" s="86"/>
      <c r="F302" s="5"/>
      <c r="G302" s="5"/>
      <c r="H302" s="1"/>
      <c r="I302" s="1"/>
      <c r="J302" s="1"/>
      <c r="K302" s="1"/>
    </row>
    <row r="303" spans="2:11" ht="24.75" customHeight="1" hidden="1">
      <c r="B303" s="218"/>
      <c r="C303" s="219"/>
      <c r="D303" s="2"/>
      <c r="E303" s="86"/>
      <c r="F303" s="5"/>
      <c r="G303" s="5"/>
      <c r="H303" s="1"/>
      <c r="I303" s="7"/>
      <c r="J303" s="1" t="s">
        <v>19</v>
      </c>
      <c r="K303" s="1"/>
    </row>
    <row r="304" spans="2:11" ht="13.5" customHeight="1" hidden="1">
      <c r="B304" s="220"/>
      <c r="C304" s="221"/>
      <c r="D304" s="2"/>
      <c r="E304" s="86"/>
      <c r="F304" s="5"/>
      <c r="G304" s="5"/>
      <c r="H304" s="1"/>
      <c r="I304" s="1"/>
      <c r="J304" s="1"/>
      <c r="K304" s="1"/>
    </row>
    <row r="305" spans="4:11" ht="27.75" customHeight="1" hidden="1">
      <c r="D305" s="2"/>
      <c r="E305" s="86"/>
      <c r="F305" s="5"/>
      <c r="G305" s="5"/>
      <c r="H305" s="1"/>
      <c r="I305" s="1"/>
      <c r="J305" s="1" t="s">
        <v>20</v>
      </c>
      <c r="K305" s="1"/>
    </row>
    <row r="306" spans="2:11" ht="18.75" customHeight="1" hidden="1">
      <c r="B306" s="87"/>
      <c r="C306" s="88"/>
      <c r="D306" s="2"/>
      <c r="E306" s="86"/>
      <c r="F306" s="5"/>
      <c r="G306" s="5"/>
      <c r="H306" s="1"/>
      <c r="I306" s="1"/>
      <c r="J306" s="1"/>
      <c r="K306" s="1"/>
    </row>
    <row r="307" spans="2:11" ht="18.75" customHeight="1" hidden="1">
      <c r="B307" s="1"/>
      <c r="C307" s="2"/>
      <c r="D307" s="2"/>
      <c r="E307" s="86"/>
      <c r="F307" s="5"/>
      <c r="G307" s="5"/>
      <c r="H307" s="1"/>
      <c r="I307" s="1"/>
      <c r="J307" s="1"/>
      <c r="K307" s="1"/>
    </row>
    <row r="308" spans="2:11" ht="27" customHeight="1" hidden="1">
      <c r="B308" s="1"/>
      <c r="C308" s="2"/>
      <c r="D308" s="2"/>
      <c r="E308" s="86"/>
      <c r="F308" s="5"/>
      <c r="G308" s="5"/>
      <c r="H308" s="1"/>
      <c r="I308" s="1"/>
      <c r="J308" s="1" t="s">
        <v>21</v>
      </c>
      <c r="K308" s="1"/>
    </row>
    <row r="309" spans="2:8" ht="23.25" hidden="1">
      <c r="B309" s="1"/>
      <c r="C309" s="2"/>
      <c r="D309" s="2"/>
      <c r="E309" s="86"/>
      <c r="F309" s="89"/>
      <c r="G309" s="89"/>
      <c r="H309" s="87"/>
    </row>
    <row r="310" spans="2:5" ht="18" customHeight="1" hidden="1">
      <c r="B310" s="1"/>
      <c r="C310" s="2"/>
      <c r="D310" s="8"/>
      <c r="E310" s="86"/>
    </row>
    <row r="311" spans="2:5" ht="23.25" hidden="1">
      <c r="B311" s="1"/>
      <c r="C311" s="2"/>
      <c r="E311" s="86"/>
    </row>
    <row r="312" spans="2:9" ht="21" customHeight="1">
      <c r="B312" s="1"/>
      <c r="C312" s="2"/>
      <c r="E312" s="85"/>
      <c r="F312" s="90"/>
      <c r="G312" s="90"/>
      <c r="I312" s="91"/>
    </row>
    <row r="313" spans="2:9" ht="21" customHeight="1">
      <c r="B313" s="1"/>
      <c r="C313" s="2"/>
      <c r="D313" s="88"/>
      <c r="E313" s="85"/>
      <c r="F313" s="92"/>
      <c r="G313" s="92"/>
      <c r="I313" s="84"/>
    </row>
    <row r="314" spans="2:7" ht="21" customHeight="1">
      <c r="B314" s="1"/>
      <c r="C314" s="2"/>
      <c r="D314" s="93"/>
      <c r="E314" s="88"/>
      <c r="F314" s="94"/>
      <c r="G314" s="94"/>
    </row>
    <row r="315" spans="2:7" ht="21" customHeight="1">
      <c r="B315" s="1"/>
      <c r="C315" s="8"/>
      <c r="D315" s="93"/>
      <c r="E315" s="85"/>
      <c r="F315" s="92"/>
      <c r="G315" s="92"/>
    </row>
    <row r="316" spans="2:3" ht="23.25" customHeight="1">
      <c r="B316" s="1"/>
      <c r="C316" s="8"/>
    </row>
    <row r="317" spans="2:8" ht="29.25" customHeight="1">
      <c r="B317" s="1"/>
      <c r="C317" s="1"/>
      <c r="D317" s="95"/>
      <c r="E317" s="96"/>
      <c r="F317" s="84"/>
      <c r="G317" s="84"/>
      <c r="H317" s="84"/>
    </row>
    <row r="318" spans="4:5" ht="31.5" customHeight="1">
      <c r="D318" s="97"/>
      <c r="E318" s="84"/>
    </row>
    <row r="319" ht="32.25" customHeight="1">
      <c r="D319" s="95"/>
    </row>
    <row r="320" ht="18.75">
      <c r="B320" s="87"/>
    </row>
  </sheetData>
  <sheetProtection/>
  <mergeCells count="181">
    <mergeCell ref="K2:M2"/>
    <mergeCell ref="M98:M102"/>
    <mergeCell ref="B50:C54"/>
    <mergeCell ref="A11:M12"/>
    <mergeCell ref="A15:M15"/>
    <mergeCell ref="A118:M118"/>
    <mergeCell ref="D34:D35"/>
    <mergeCell ref="D55:D61"/>
    <mergeCell ref="D84:D90"/>
    <mergeCell ref="B70:C76"/>
    <mergeCell ref="A122:A155"/>
    <mergeCell ref="B294:C299"/>
    <mergeCell ref="K44:K45"/>
    <mergeCell ref="G44:G45"/>
    <mergeCell ref="A55:A97"/>
    <mergeCell ref="D77:D83"/>
    <mergeCell ref="A193:M193"/>
    <mergeCell ref="A246:A250"/>
    <mergeCell ref="A206:A245"/>
    <mergeCell ref="M195:M245"/>
    <mergeCell ref="L44:L45"/>
    <mergeCell ref="E55:E61"/>
    <mergeCell ref="M44:M49"/>
    <mergeCell ref="E44:E45"/>
    <mergeCell ref="M50:M54"/>
    <mergeCell ref="E84:E90"/>
    <mergeCell ref="A119:M119"/>
    <mergeCell ref="M55:M97"/>
    <mergeCell ref="A33:A38"/>
    <mergeCell ref="A39:A43"/>
    <mergeCell ref="A44:A49"/>
    <mergeCell ref="A50:A54"/>
    <mergeCell ref="D44:D45"/>
    <mergeCell ref="B33:C38"/>
    <mergeCell ref="B44:C49"/>
    <mergeCell ref="B77:C97"/>
    <mergeCell ref="B39:C43"/>
    <mergeCell ref="F44:F45"/>
    <mergeCell ref="J44:J45"/>
    <mergeCell ref="I44:I45"/>
    <mergeCell ref="D160:D162"/>
    <mergeCell ref="E70:E76"/>
    <mergeCell ref="D206:D213"/>
    <mergeCell ref="D62:D69"/>
    <mergeCell ref="A194:K194"/>
    <mergeCell ref="E62:E69"/>
    <mergeCell ref="A98:A102"/>
    <mergeCell ref="F5:J5"/>
    <mergeCell ref="M39:M43"/>
    <mergeCell ref="J34:J35"/>
    <mergeCell ref="F16:F17"/>
    <mergeCell ref="G16:G17"/>
    <mergeCell ref="M22:M26"/>
    <mergeCell ref="A5:A9"/>
    <mergeCell ref="B5:C9"/>
    <mergeCell ref="B10:C10"/>
    <mergeCell ref="B22:C26"/>
    <mergeCell ref="A22:A26"/>
    <mergeCell ref="A28:A32"/>
    <mergeCell ref="B28:C32"/>
    <mergeCell ref="L34:L35"/>
    <mergeCell ref="E34:E35"/>
    <mergeCell ref="F34:F35"/>
    <mergeCell ref="I34:I35"/>
    <mergeCell ref="G34:G35"/>
    <mergeCell ref="M33:M36"/>
    <mergeCell ref="M5:M9"/>
    <mergeCell ref="K5:K9"/>
    <mergeCell ref="G8:G9"/>
    <mergeCell ref="G7:I7"/>
    <mergeCell ref="G6:J6"/>
    <mergeCell ref="J7:J9"/>
    <mergeCell ref="H8:I8"/>
    <mergeCell ref="H34:H35"/>
    <mergeCell ref="M28:M32"/>
    <mergeCell ref="A16:A21"/>
    <mergeCell ref="D16:D17"/>
    <mergeCell ref="M16:M21"/>
    <mergeCell ref="I16:I17"/>
    <mergeCell ref="B16:C21"/>
    <mergeCell ref="J16:J17"/>
    <mergeCell ref="H16:H17"/>
    <mergeCell ref="E16:E17"/>
    <mergeCell ref="L16:L17"/>
    <mergeCell ref="K16:K17"/>
    <mergeCell ref="B288:C290"/>
    <mergeCell ref="B106:C106"/>
    <mergeCell ref="B246:C250"/>
    <mergeCell ref="A192:M192"/>
    <mergeCell ref="M113:M117"/>
    <mergeCell ref="M267:M271"/>
    <mergeCell ref="M262:M266"/>
    <mergeCell ref="B187:C191"/>
    <mergeCell ref="A113:A117"/>
    <mergeCell ref="B272:C276"/>
    <mergeCell ref="A282:M282"/>
    <mergeCell ref="A267:A271"/>
    <mergeCell ref="A272:A276"/>
    <mergeCell ref="D70:D76"/>
    <mergeCell ref="D158:D159"/>
    <mergeCell ref="M104:M105"/>
    <mergeCell ref="B107:C109"/>
    <mergeCell ref="M171:M176"/>
    <mergeCell ref="L160:L161"/>
    <mergeCell ref="B113:C117"/>
    <mergeCell ref="B158:B159"/>
    <mergeCell ref="A254:A258"/>
    <mergeCell ref="A120:M120"/>
    <mergeCell ref="A121:M121"/>
    <mergeCell ref="A294:A299"/>
    <mergeCell ref="A262:A266"/>
    <mergeCell ref="B160:B162"/>
    <mergeCell ref="A160:A162"/>
    <mergeCell ref="A187:A191"/>
    <mergeCell ref="M122:M162"/>
    <mergeCell ref="L125:L130"/>
    <mergeCell ref="A277:A281"/>
    <mergeCell ref="A163:A176"/>
    <mergeCell ref="B277:C281"/>
    <mergeCell ref="A156:A157"/>
    <mergeCell ref="A158:A159"/>
    <mergeCell ref="A184:A185"/>
    <mergeCell ref="B262:C266"/>
    <mergeCell ref="B267:C271"/>
    <mergeCell ref="A177:A179"/>
    <mergeCell ref="B156:B157"/>
    <mergeCell ref="D230:D237"/>
    <mergeCell ref="D214:D219"/>
    <mergeCell ref="D156:D157"/>
    <mergeCell ref="D238:D245"/>
    <mergeCell ref="A13:M13"/>
    <mergeCell ref="A14:M14"/>
    <mergeCell ref="B55:C69"/>
    <mergeCell ref="B300:C304"/>
    <mergeCell ref="E77:E83"/>
    <mergeCell ref="B98:C102"/>
    <mergeCell ref="B103:C103"/>
    <mergeCell ref="B285:C287"/>
    <mergeCell ref="A253:M253"/>
    <mergeCell ref="B163:B176"/>
    <mergeCell ref="A180:A181"/>
    <mergeCell ref="M183:M184"/>
    <mergeCell ref="B3:L3"/>
    <mergeCell ref="D5:D9"/>
    <mergeCell ref="E5:E9"/>
    <mergeCell ref="L5:L9"/>
    <mergeCell ref="B110:C112"/>
    <mergeCell ref="B180:B181"/>
    <mergeCell ref="F6:F9"/>
    <mergeCell ref="H44:H45"/>
    <mergeCell ref="B195:C204"/>
    <mergeCell ref="A259:M259"/>
    <mergeCell ref="A260:M260"/>
    <mergeCell ref="A261:M261"/>
    <mergeCell ref="D220:D229"/>
    <mergeCell ref="M254:M258"/>
    <mergeCell ref="B254:C258"/>
    <mergeCell ref="A252:L252"/>
    <mergeCell ref="A251:M251"/>
    <mergeCell ref="A283:M283"/>
    <mergeCell ref="E91:E97"/>
    <mergeCell ref="D91:D97"/>
    <mergeCell ref="A195:A204"/>
    <mergeCell ref="B206:C245"/>
    <mergeCell ref="M180:M181"/>
    <mergeCell ref="B153:B155"/>
    <mergeCell ref="B122:B151"/>
    <mergeCell ref="M272:M276"/>
    <mergeCell ref="B177:B179"/>
    <mergeCell ref="K1:M1"/>
    <mergeCell ref="B291:C293"/>
    <mergeCell ref="A291:A293"/>
    <mergeCell ref="A284:M284"/>
    <mergeCell ref="A285:A287"/>
    <mergeCell ref="A288:A290"/>
    <mergeCell ref="M285:M290"/>
    <mergeCell ref="B27:C27"/>
    <mergeCell ref="B104:C104"/>
    <mergeCell ref="B105:C105"/>
  </mergeCells>
  <printOptions/>
  <pageMargins left="0.2755905511811024" right="0.2755905511811024" top="0.75" bottom="0.15748031496062992" header="0.15748031496062992" footer="0.15748031496062992"/>
  <pageSetup horizontalDpi="600" verticalDpi="600" orientation="landscape" paperSize="9" scale="36" r:id="rId1"/>
  <rowBreaks count="7" manualBreakCount="7">
    <brk id="43" max="12" man="1"/>
    <brk id="83" max="12" man="1"/>
    <brk id="120" max="12" man="1"/>
    <brk id="170" max="12" man="1"/>
    <brk id="191" max="12" man="1"/>
    <brk id="229" max="12" man="1"/>
    <brk id="2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2019-04-25T13:06:15Z</cp:lastPrinted>
  <dcterms:created xsi:type="dcterms:W3CDTF">2010-09-22T11:49:59Z</dcterms:created>
  <dcterms:modified xsi:type="dcterms:W3CDTF">2019-04-29T07:37:50Z</dcterms:modified>
  <cp:category/>
  <cp:version/>
  <cp:contentType/>
  <cp:contentStatus/>
</cp:coreProperties>
</file>