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1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>
    <definedName name="_xlnm.Print_Area" localSheetId="1">'под. культура'!$A$2:$M$490</definedName>
  </definedNames>
  <calcPr fullCalcOnLoad="1"/>
</workbook>
</file>

<file path=xl/sharedStrings.xml><?xml version="1.0" encoding="utf-8"?>
<sst xmlns="http://schemas.openxmlformats.org/spreadsheetml/2006/main" count="478" uniqueCount="319">
  <si>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</si>
  <si>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</si>
  <si>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</si>
  <si>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</si>
  <si>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</si>
  <si>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</si>
  <si>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</si>
  <si>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</si>
  <si>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</si>
  <si>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</si>
  <si>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</si>
  <si>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</si>
  <si>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</si>
  <si>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</si>
  <si>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</si>
  <si>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</si>
  <si>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</si>
  <si>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</si>
  <si>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</si>
  <si>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</si>
  <si>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</si>
  <si>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</si>
  <si>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</si>
  <si>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</si>
  <si>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</si>
  <si>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</si>
  <si>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</si>
  <si>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</si>
  <si>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</si>
  <si>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</si>
  <si>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 создание электронного каталога библиотечных фондов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</si>
  <si>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</si>
  <si>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</si>
  <si>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</si>
  <si>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</si>
  <si>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</si>
  <si>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</si>
  <si>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</si>
  <si>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</si>
  <si>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</si>
  <si>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</si>
  <si>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</si>
  <si>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</si>
  <si>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</si>
  <si>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</si>
  <si>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</si>
  <si>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</si>
  <si>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</si>
  <si>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</si>
  <si>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</si>
  <si>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</si>
  <si>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</si>
  <si>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</si>
  <si>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</si>
  <si>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</si>
  <si>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</si>
  <si>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</si>
  <si>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</si>
  <si>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</si>
  <si>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</si>
  <si>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</si>
  <si>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</si>
  <si>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</si>
  <si>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</si>
  <si>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</si>
  <si>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</si>
  <si>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</si>
  <si>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</si>
  <si>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</si>
  <si>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</si>
  <si>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</si>
  <si>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</si>
  <si>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</si>
  <si>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</si>
  <si>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</si>
  <si>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</si>
  <si>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</si>
  <si>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</si>
  <si>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</si>
  <si>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</si>
  <si>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</si>
  <si>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</si>
  <si>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</si>
  <si>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</si>
  <si>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</si>
  <si>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</si>
  <si>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</si>
  <si>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</si>
  <si>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</si>
  <si>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</si>
  <si>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</si>
  <si>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</si>
  <si>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</si>
  <si>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</si>
  <si>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</si>
  <si>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</si>
  <si>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</si>
  <si>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</si>
  <si>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</si>
  <si>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</si>
  <si>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</si>
  <si>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</si>
  <si>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</si>
  <si>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</si>
  <si>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</si>
  <si>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</si>
  <si>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</si>
  <si>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</si>
  <si>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</si>
  <si>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</si>
  <si>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</si>
  <si>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</si>
  <si>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</si>
  <si>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</si>
  <si>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</si>
  <si>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</si>
  <si>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</si>
  <si>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</si>
  <si>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</si>
  <si>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</si>
  <si>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</si>
  <si>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</si>
  <si>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</si>
  <si>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</si>
  <si>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</si>
  <si>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</si>
  <si>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</si>
  <si>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</si>
  <si>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</si>
  <si>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</si>
  <si>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</si>
  <si>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</si>
  <si>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</si>
  <si>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</si>
  <si>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</si>
  <si>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</si>
  <si>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</si>
  <si>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</si>
  <si>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</si>
  <si>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</si>
  <si>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</si>
  <si>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</si>
  <si>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</si>
  <si>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</si>
  <si>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</si>
  <si>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</si>
  <si>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</si>
  <si>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</si>
  <si>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</si>
  <si>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</si>
  <si>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</si>
  <si>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</si>
  <si>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</si>
  <si>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</si>
  <si>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</si>
  <si>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</si>
  <si>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</si>
  <si>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</si>
  <si>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</si>
  <si>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</si>
  <si>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</si>
  <si>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</si>
  <si>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</si>
  <si>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</si>
  <si>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</si>
  <si>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</si>
  <si>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</si>
  <si>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</si>
  <si>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</si>
  <si>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</si>
  <si>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</si>
  <si>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</si>
  <si>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</si>
  <si>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</si>
  <si>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</si>
  <si>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</si>
  <si>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</si>
  <si>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</si>
  <si>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</si>
  <si>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</si>
  <si>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</si>
  <si>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</si>
  <si>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</si>
  <si>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</si>
  <si>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</si>
  <si>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</si>
  <si>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</si>
  <si>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</si>
  <si>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</si>
  <si>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</si>
  <si>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</si>
  <si>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</si>
  <si>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</si>
  <si>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</si>
  <si>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</si>
  <si>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</si>
  <si>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</si>
  <si>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</si>
  <si>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</si>
  <si>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</si>
  <si>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</si>
  <si>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</si>
  <si>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</si>
  <si>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</si>
  <si>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</si>
  <si>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</si>
  <si>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</si>
  <si>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</si>
  <si>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</si>
  <si>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</si>
  <si>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</si>
  <si>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</si>
  <si>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</si>
  <si>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</si>
  <si>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</si>
  <si>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</si>
  <si>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</si>
  <si>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</si>
  <si>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</si>
  <si>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</si>
  <si>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</si>
  <si>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</si>
  <si>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</si>
  <si>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</si>
  <si>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</si>
  <si>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</si>
  <si>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</si>
  <si>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</si>
  <si>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</si>
  <si>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</si>
  <si>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</si>
  <si>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</si>
  <si>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</si>
  <si>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</si>
  <si>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</si>
  <si>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</si>
  <si>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</si>
  <si>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</si>
  <si>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</si>
  <si>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</si>
  <si>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</si>
  <si>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</si>
  <si>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</si>
  <si>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</si>
  <si>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</si>
  <si>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Перечень мероприятий муниципальной подпрограммы «Развитие физической культуры и спорта в ЗАТО г.Радужный»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</si>
  <si>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</si>
  <si>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</si>
  <si>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</si>
  <si>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</si>
  <si>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</si>
  <si>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</si>
  <si>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</si>
  <si>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</si>
  <si>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</si>
  <si>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>МБУ ДО "ДЮСШ"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</si>
  <si>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</si>
  <si>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</si>
  <si>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</si>
  <si>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</si>
  <si>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</si>
  <si>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</si>
  <si>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</si>
  <si>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</si>
  <si>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</si>
  <si>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</si>
  <si>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</si>
  <si>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</si>
  <si>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</si>
  <si>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</si>
  <si>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</si>
  <si>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</si>
  <si>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</si>
  <si>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обеспечение широкого доступа населения к информационно-справочным системам(запчасти для оргтехники)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</si>
  <si>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</si>
  <si>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</si>
  <si>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</si>
  <si>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</si>
  <si>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</si>
  <si>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МБОУДОД ДЮСШ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</si>
  <si>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</si>
  <si>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</si>
  <si>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</si>
  <si>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</si>
  <si>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</si>
  <si>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</si>
  <si>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</si>
  <si>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</si>
  <si>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</si>
  <si>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</si>
  <si>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</si>
  <si>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</si>
  <si>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</si>
  <si>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2017-2022</t>
  </si>
  <si>
    <t>2017-2022г.г.</t>
  </si>
  <si>
    <t>Установка кондиционеров в киноаппаратной и зрительном зале в МБУК "ЦДМ"</t>
  </si>
  <si>
    <t>2017-2022 годы</t>
  </si>
  <si>
    <t>2017-2022годы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</si>
  <si>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</si>
  <si>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</si>
  <si>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</si>
  <si>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</si>
  <si>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</si>
  <si>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</si>
  <si>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</si>
  <si>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</si>
  <si>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</si>
  <si>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</si>
  <si>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</si>
  <si>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 xml:space="preserve">Приложение </t>
  </si>
  <si>
    <t xml:space="preserve">Приложение  </t>
  </si>
  <si>
    <t>«Культура ЗАТО г.Радужный Владимирской области»</t>
  </si>
  <si>
    <t xml:space="preserve"> к муниципальной подпрограмме 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</si>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</sst>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177" fontId="0" fillId="0" borderId="0" xfId="0" applyNumberFormat="1" applyAlignment="1">
      <alignment/>
    </xf>
    <xf numFmtId="0" fontId="59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17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2" fillId="0" borderId="0" xfId="0" applyFont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6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61" fillId="0" borderId="12" xfId="0" applyFont="1" applyBorder="1" applyAlignment="1">
      <alignment vertical="top" wrapText="1"/>
    </xf>
    <xf numFmtId="0" fontId="60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60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177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 vertical="top"/>
    </xf>
    <xf numFmtId="0" fontId="63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56" fillId="0" borderId="17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78" fontId="61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78" fontId="64" fillId="0" borderId="12" xfId="0" applyNumberFormat="1" applyFont="1" applyFill="1" applyBorder="1" applyAlignment="1">
      <alignment vertical="top" wrapText="1"/>
    </xf>
    <xf numFmtId="178" fontId="61" fillId="0" borderId="12" xfId="0" applyNumberFormat="1" applyFont="1" applyFill="1" applyBorder="1" applyAlignment="1">
      <alignment horizontal="center" wrapText="1"/>
    </xf>
    <xf numFmtId="178" fontId="61" fillId="0" borderId="12" xfId="0" applyNumberFormat="1" applyFont="1" applyFill="1" applyBorder="1" applyAlignment="1">
      <alignment wrapText="1"/>
    </xf>
    <xf numFmtId="178" fontId="64" fillId="0" borderId="12" xfId="0" applyNumberFormat="1" applyFont="1" applyFill="1" applyBorder="1" applyAlignment="1">
      <alignment wrapText="1"/>
    </xf>
    <xf numFmtId="178" fontId="59" fillId="0" borderId="12" xfId="0" applyNumberFormat="1" applyFont="1" applyFill="1" applyBorder="1" applyAlignment="1">
      <alignment horizontal="center" vertical="top" wrapText="1"/>
    </xf>
    <xf numFmtId="178" fontId="59" fillId="0" borderId="12" xfId="0" applyNumberFormat="1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justify" vertical="top" wrapText="1"/>
    </xf>
    <xf numFmtId="178" fontId="65" fillId="0" borderId="12" xfId="0" applyNumberFormat="1" applyFont="1" applyFill="1" applyBorder="1" applyAlignment="1">
      <alignment horizontal="center" vertical="top" wrapText="1"/>
    </xf>
    <xf numFmtId="178" fontId="65" fillId="0" borderId="12" xfId="0" applyNumberFormat="1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justify" vertical="top" wrapText="1"/>
    </xf>
    <xf numFmtId="178" fontId="61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59" fillId="0" borderId="12" xfId="0" applyNumberFormat="1" applyFont="1" applyFill="1" applyBorder="1" applyAlignment="1">
      <alignment horizontal="center" wrapText="1"/>
    </xf>
    <xf numFmtId="178" fontId="59" fillId="0" borderId="12" xfId="0" applyNumberFormat="1" applyFont="1" applyFill="1" applyBorder="1" applyAlignment="1">
      <alignment wrapText="1"/>
    </xf>
    <xf numFmtId="0" fontId="61" fillId="0" borderId="17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3" fillId="0" borderId="12" xfId="0" applyNumberFormat="1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56" fillId="0" borderId="12" xfId="0" applyNumberFormat="1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178" fontId="56" fillId="0" borderId="12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178" fontId="63" fillId="0" borderId="20" xfId="0" applyNumberFormat="1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5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vertical="top" wrapText="1"/>
    </xf>
    <xf numFmtId="184" fontId="55" fillId="0" borderId="12" xfId="0" applyNumberFormat="1" applyFont="1" applyFill="1" applyBorder="1" applyAlignment="1">
      <alignment horizontal="center"/>
    </xf>
    <xf numFmtId="184" fontId="68" fillId="0" borderId="12" xfId="0" applyNumberFormat="1" applyFont="1" applyFill="1" applyBorder="1" applyAlignment="1">
      <alignment vertical="top" wrapText="1"/>
    </xf>
    <xf numFmtId="184" fontId="55" fillId="0" borderId="12" xfId="0" applyNumberFormat="1" applyFont="1" applyFill="1" applyBorder="1" applyAlignment="1">
      <alignment horizontal="left" vertical="top" wrapText="1" indent="1"/>
    </xf>
    <xf numFmtId="184" fontId="64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69" fillId="0" borderId="12" xfId="0" applyNumberFormat="1" applyFont="1" applyFill="1" applyBorder="1" applyAlignment="1">
      <alignment vertical="top" wrapText="1"/>
    </xf>
    <xf numFmtId="184" fontId="61" fillId="0" borderId="12" xfId="0" applyNumberFormat="1" applyFont="1" applyFill="1" applyBorder="1" applyAlignment="1">
      <alignment horizontal="left" vertical="top" wrapText="1"/>
    </xf>
    <xf numFmtId="184" fontId="61" fillId="0" borderId="12" xfId="0" applyNumberFormat="1" applyFont="1" applyFill="1" applyBorder="1" applyAlignment="1">
      <alignment horizontal="left" vertical="top" wrapText="1" indent="1"/>
    </xf>
    <xf numFmtId="184" fontId="61" fillId="0" borderId="12" xfId="0" applyNumberFormat="1" applyFont="1" applyFill="1" applyBorder="1" applyAlignment="1">
      <alignment horizontal="center" vertical="center" wrapText="1"/>
    </xf>
    <xf numFmtId="184" fontId="61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wrapText="1"/>
    </xf>
    <xf numFmtId="184" fontId="69" fillId="0" borderId="12" xfId="0" applyNumberFormat="1" applyFont="1" applyFill="1" applyBorder="1" applyAlignment="1">
      <alignment vertical="center"/>
    </xf>
    <xf numFmtId="184" fontId="69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69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69" fillId="0" borderId="12" xfId="0" applyNumberFormat="1" applyFont="1" applyFill="1" applyBorder="1" applyAlignment="1">
      <alignment/>
    </xf>
    <xf numFmtId="184" fontId="69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/>
    </xf>
    <xf numFmtId="1" fontId="55" fillId="0" borderId="12" xfId="0" applyNumberFormat="1" applyFont="1" applyFill="1" applyBorder="1" applyAlignment="1">
      <alignment horizontal="center" wrapText="1"/>
    </xf>
    <xf numFmtId="1" fontId="71" fillId="0" borderId="12" xfId="0" applyNumberFormat="1" applyFont="1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wrapText="1"/>
    </xf>
    <xf numFmtId="1" fontId="61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70" fillId="0" borderId="12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56" fillId="0" borderId="10" xfId="0" applyNumberFormat="1" applyFont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7" xfId="0" applyNumberFormat="1" applyFont="1" applyFill="1" applyBorder="1" applyAlignment="1">
      <alignment horizontal="left" vertical="center" wrapText="1"/>
    </xf>
    <xf numFmtId="184" fontId="55" fillId="0" borderId="12" xfId="0" applyNumberFormat="1" applyFont="1" applyFill="1" applyBorder="1" applyAlignment="1">
      <alignment horizontal="left" vertical="top" wrapText="1"/>
    </xf>
    <xf numFmtId="184" fontId="61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 horizontal="center" wrapText="1"/>
    </xf>
    <xf numFmtId="1" fontId="55" fillId="0" borderId="12" xfId="0" applyNumberFormat="1" applyFont="1" applyFill="1" applyBorder="1" applyAlignment="1">
      <alignment horizontal="center" vertical="top" wrapText="1"/>
    </xf>
    <xf numFmtId="1" fontId="55" fillId="0" borderId="12" xfId="0" applyNumberFormat="1" applyFont="1" applyFill="1" applyBorder="1" applyAlignment="1">
      <alignment horizontal="center" vertical="center" wrapText="1"/>
    </xf>
    <xf numFmtId="184" fontId="55" fillId="0" borderId="12" xfId="0" applyNumberFormat="1" applyFont="1" applyFill="1" applyBorder="1" applyAlignment="1">
      <alignment vertical="top" wrapText="1"/>
    </xf>
    <xf numFmtId="184" fontId="56" fillId="0" borderId="12" xfId="0" applyNumberFormat="1" applyFon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4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177" fontId="60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2" fontId="61" fillId="0" borderId="12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center" vertical="top" wrapText="1"/>
    </xf>
    <xf numFmtId="184" fontId="32" fillId="0" borderId="12" xfId="0" applyNumberFormat="1" applyFont="1" applyFill="1" applyBorder="1" applyAlignment="1">
      <alignment vertical="top" wrapText="1"/>
    </xf>
    <xf numFmtId="184" fontId="64" fillId="0" borderId="12" xfId="0" applyNumberFormat="1" applyFont="1" applyFill="1" applyBorder="1" applyAlignment="1">
      <alignment vertical="center" wrapText="1"/>
    </xf>
    <xf numFmtId="184" fontId="72" fillId="0" borderId="12" xfId="0" applyNumberFormat="1" applyFont="1" applyFill="1" applyBorder="1" applyAlignment="1">
      <alignment vertical="top" wrapText="1"/>
    </xf>
    <xf numFmtId="184" fontId="61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7" xfId="0" applyNumberFormat="1" applyFont="1" applyFill="1" applyBorder="1" applyAlignment="1">
      <alignment horizontal="left" vertical="center" wrapText="1"/>
    </xf>
    <xf numFmtId="1" fontId="55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" fontId="55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184" fontId="55" fillId="0" borderId="17" xfId="0" applyNumberFormat="1" applyFont="1" applyFill="1" applyBorder="1" applyAlignment="1">
      <alignment horizontal="left" vertical="center" wrapText="1"/>
    </xf>
    <xf numFmtId="1" fontId="55" fillId="33" borderId="12" xfId="0" applyNumberFormat="1" applyFont="1" applyFill="1" applyBorder="1" applyAlignment="1">
      <alignment horizontal="center" vertical="top" wrapText="1"/>
    </xf>
    <xf numFmtId="184" fontId="55" fillId="33" borderId="12" xfId="0" applyNumberFormat="1" applyFont="1" applyFill="1" applyBorder="1" applyAlignment="1">
      <alignment horizontal="center" vertical="top" wrapText="1"/>
    </xf>
    <xf numFmtId="184" fontId="64" fillId="33" borderId="12" xfId="0" applyNumberFormat="1" applyFont="1" applyFill="1" applyBorder="1" applyAlignment="1">
      <alignment vertical="top" wrapText="1"/>
    </xf>
    <xf numFmtId="1" fontId="55" fillId="34" borderId="12" xfId="0" applyNumberFormat="1" applyFont="1" applyFill="1" applyBorder="1" applyAlignment="1">
      <alignment horizontal="center" vertical="top" wrapText="1"/>
    </xf>
    <xf numFmtId="184" fontId="55" fillId="34" borderId="12" xfId="0" applyNumberFormat="1" applyFont="1" applyFill="1" applyBorder="1" applyAlignment="1">
      <alignment horizontal="center" vertical="top" wrapText="1"/>
    </xf>
    <xf numFmtId="184" fontId="64" fillId="34" borderId="12" xfId="0" applyNumberFormat="1" applyFont="1" applyFill="1" applyBorder="1" applyAlignment="1">
      <alignment vertical="top" wrapText="1"/>
    </xf>
    <xf numFmtId="184" fontId="73" fillId="34" borderId="12" xfId="0" applyNumberFormat="1" applyFont="1" applyFill="1" applyBorder="1" applyAlignment="1">
      <alignment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84" fontId="5" fillId="34" borderId="12" xfId="0" applyNumberFormat="1" applyFont="1" applyFill="1" applyBorder="1" applyAlignment="1">
      <alignment horizontal="center" vertical="top" wrapText="1"/>
    </xf>
    <xf numFmtId="1" fontId="55" fillId="34" borderId="12" xfId="0" applyNumberFormat="1" applyFont="1" applyFill="1" applyBorder="1" applyAlignment="1">
      <alignment horizontal="center" vertical="center" wrapText="1"/>
    </xf>
    <xf numFmtId="184" fontId="55" fillId="34" borderId="12" xfId="0" applyNumberFormat="1" applyFont="1" applyFill="1" applyBorder="1" applyAlignment="1">
      <alignment horizontal="center" vertical="center" wrapText="1"/>
    </xf>
    <xf numFmtId="184" fontId="55" fillId="34" borderId="12" xfId="0" applyNumberFormat="1" applyFont="1" applyFill="1" applyBorder="1" applyAlignment="1">
      <alignment horizontal="center"/>
    </xf>
    <xf numFmtId="1" fontId="61" fillId="34" borderId="12" xfId="0" applyNumberFormat="1" applyFont="1" applyFill="1" applyBorder="1" applyAlignment="1">
      <alignment horizontal="center" vertical="top" wrapText="1"/>
    </xf>
    <xf numFmtId="184" fontId="61" fillId="34" borderId="12" xfId="0" applyNumberFormat="1" applyFont="1" applyFill="1" applyBorder="1" applyAlignment="1">
      <alignment horizontal="center" vertical="top" wrapText="1"/>
    </xf>
    <xf numFmtId="1" fontId="61" fillId="34" borderId="12" xfId="0" applyNumberFormat="1" applyFont="1" applyFill="1" applyBorder="1" applyAlignment="1">
      <alignment horizontal="center" vertical="center" wrapText="1"/>
    </xf>
    <xf numFmtId="184" fontId="61" fillId="34" borderId="12" xfId="0" applyNumberFormat="1" applyFont="1" applyFill="1" applyBorder="1" applyAlignment="1">
      <alignment horizontal="center" vertical="center" wrapText="1"/>
    </xf>
    <xf numFmtId="184" fontId="59" fillId="34" borderId="12" xfId="0" applyNumberFormat="1" applyFont="1" applyFill="1" applyBorder="1" applyAlignment="1">
      <alignment horizontal="center" vertical="top" wrapText="1"/>
    </xf>
    <xf numFmtId="184" fontId="69" fillId="34" borderId="12" xfId="0" applyNumberFormat="1" applyFont="1" applyFill="1" applyBorder="1" applyAlignment="1">
      <alignment horizontal="center" vertical="center" wrapText="1"/>
    </xf>
    <xf numFmtId="184" fontId="69" fillId="34" borderId="12" xfId="0" applyNumberFormat="1" applyFont="1" applyFill="1" applyBorder="1" applyAlignment="1">
      <alignment vertical="top" wrapText="1"/>
    </xf>
    <xf numFmtId="0" fontId="56" fillId="34" borderId="10" xfId="0" applyFont="1" applyFill="1" applyBorder="1" applyAlignment="1">
      <alignment horizontal="center" vertical="top" wrapText="1"/>
    </xf>
    <xf numFmtId="184" fontId="56" fillId="34" borderId="10" xfId="0" applyNumberFormat="1" applyFont="1" applyFill="1" applyBorder="1" applyAlignment="1">
      <alignment horizontal="center" vertical="top" wrapText="1"/>
    </xf>
    <xf numFmtId="184" fontId="57" fillId="34" borderId="10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184" fontId="59" fillId="0" borderId="12" xfId="0" applyNumberFormat="1" applyFont="1" applyFill="1" applyBorder="1" applyAlignment="1">
      <alignment vertical="top" wrapText="1"/>
    </xf>
    <xf numFmtId="184" fontId="55" fillId="0" borderId="20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20" xfId="0" applyNumberFormat="1" applyFont="1" applyFill="1" applyBorder="1" applyAlignment="1">
      <alignment horizontal="left" vertical="center" wrapText="1"/>
    </xf>
    <xf numFmtId="184" fontId="55" fillId="0" borderId="17" xfId="0" applyNumberFormat="1" applyFont="1" applyFill="1" applyBorder="1" applyAlignment="1">
      <alignment horizontal="left" vertical="center" wrapText="1"/>
    </xf>
    <xf numFmtId="184" fontId="55" fillId="0" borderId="17" xfId="0" applyNumberFormat="1" applyFont="1" applyFill="1" applyBorder="1" applyAlignment="1">
      <alignment horizontal="center" vertical="top" wrapText="1"/>
    </xf>
    <xf numFmtId="184" fontId="55" fillId="0" borderId="18" xfId="0" applyNumberFormat="1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wrapText="1"/>
    </xf>
    <xf numFmtId="184" fontId="61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vertical="top" wrapText="1"/>
    </xf>
    <xf numFmtId="184" fontId="55" fillId="0" borderId="12" xfId="0" applyNumberFormat="1" applyFont="1" applyFill="1" applyBorder="1" applyAlignment="1">
      <alignment vertical="top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55" fillId="33" borderId="20" xfId="0" applyNumberFormat="1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5" fillId="0" borderId="18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 horizontal="center"/>
    </xf>
    <xf numFmtId="1" fontId="55" fillId="35" borderId="12" xfId="0" applyNumberFormat="1" applyFont="1" applyFill="1" applyBorder="1" applyAlignment="1">
      <alignment horizontal="center" vertical="top" wrapText="1"/>
    </xf>
    <xf numFmtId="184" fontId="55" fillId="35" borderId="12" xfId="0" applyNumberFormat="1" applyFont="1" applyFill="1" applyBorder="1" applyAlignment="1">
      <alignment horizontal="center" vertical="top" wrapText="1"/>
    </xf>
    <xf numFmtId="1" fontId="55" fillId="35" borderId="17" xfId="0" applyNumberFormat="1" applyFont="1" applyFill="1" applyBorder="1" applyAlignment="1">
      <alignment horizontal="center" vertical="top" wrapText="1"/>
    </xf>
    <xf numFmtId="184" fontId="55" fillId="35" borderId="12" xfId="0" applyNumberFormat="1" applyFont="1" applyFill="1" applyBorder="1" applyAlignment="1">
      <alignment horizontal="center"/>
    </xf>
    <xf numFmtId="184" fontId="64" fillId="35" borderId="12" xfId="0" applyNumberFormat="1" applyFont="1" applyFill="1" applyBorder="1" applyAlignment="1">
      <alignment vertical="top" wrapText="1"/>
    </xf>
    <xf numFmtId="1" fontId="71" fillId="35" borderId="12" xfId="0" applyNumberFormat="1" applyFont="1" applyFill="1" applyBorder="1" applyAlignment="1">
      <alignment horizontal="center" vertical="top" wrapText="1"/>
    </xf>
    <xf numFmtId="184" fontId="71" fillId="35" borderId="12" xfId="0" applyNumberFormat="1" applyFont="1" applyFill="1" applyBorder="1" applyAlignment="1">
      <alignment horizontal="center" vertical="top" wrapText="1"/>
    </xf>
    <xf numFmtId="1" fontId="55" fillId="35" borderId="12" xfId="0" applyNumberFormat="1" applyFont="1" applyFill="1" applyBorder="1" applyAlignment="1">
      <alignment horizontal="center" vertical="center" wrapText="1"/>
    </xf>
    <xf numFmtId="184" fontId="55" fillId="35" borderId="12" xfId="0" applyNumberFormat="1" applyFont="1" applyFill="1" applyBorder="1" applyAlignment="1">
      <alignment horizontal="center" wrapText="1"/>
    </xf>
    <xf numFmtId="184" fontId="64" fillId="35" borderId="12" xfId="0" applyNumberFormat="1" applyFont="1" applyFill="1" applyBorder="1" applyAlignment="1">
      <alignment horizontal="center" wrapText="1"/>
    </xf>
    <xf numFmtId="184" fontId="55" fillId="35" borderId="12" xfId="0" applyNumberFormat="1" applyFont="1" applyFill="1" applyBorder="1" applyAlignment="1">
      <alignment horizontal="center" vertical="center" wrapText="1"/>
    </xf>
    <xf numFmtId="184" fontId="64" fillId="35" borderId="12" xfId="0" applyNumberFormat="1" applyFont="1" applyFill="1" applyBorder="1" applyAlignment="1">
      <alignment horizontal="center" vertical="center" wrapText="1"/>
    </xf>
    <xf numFmtId="1" fontId="61" fillId="36" borderId="12" xfId="0" applyNumberFormat="1" applyFont="1" applyFill="1" applyBorder="1" applyAlignment="1">
      <alignment horizontal="center" vertical="top" wrapText="1"/>
    </xf>
    <xf numFmtId="184" fontId="61" fillId="36" borderId="12" xfId="0" applyNumberFormat="1" applyFont="1" applyFill="1" applyBorder="1" applyAlignment="1">
      <alignment horizontal="center" vertical="top" wrapText="1"/>
    </xf>
    <xf numFmtId="1" fontId="61" fillId="35" borderId="12" xfId="0" applyNumberFormat="1" applyFont="1" applyFill="1" applyBorder="1" applyAlignment="1">
      <alignment horizontal="center" vertical="top" wrapText="1"/>
    </xf>
    <xf numFmtId="184" fontId="61" fillId="35" borderId="12" xfId="0" applyNumberFormat="1" applyFont="1" applyFill="1" applyBorder="1" applyAlignment="1">
      <alignment horizontal="center" vertical="top" wrapText="1"/>
    </xf>
    <xf numFmtId="184" fontId="69" fillId="35" borderId="12" xfId="0" applyNumberFormat="1" applyFont="1" applyFill="1" applyBorder="1" applyAlignment="1">
      <alignment wrapText="1"/>
    </xf>
    <xf numFmtId="184" fontId="55" fillId="36" borderId="12" xfId="0" applyNumberFormat="1" applyFont="1" applyFill="1" applyBorder="1" applyAlignment="1">
      <alignment horizontal="center" vertical="top" wrapText="1"/>
    </xf>
    <xf numFmtId="184" fontId="69" fillId="36" borderId="12" xfId="0" applyNumberFormat="1" applyFont="1" applyFill="1" applyBorder="1" applyAlignment="1">
      <alignment wrapText="1"/>
    </xf>
    <xf numFmtId="184" fontId="69" fillId="35" borderId="12" xfId="0" applyNumberFormat="1" applyFont="1" applyFill="1" applyBorder="1" applyAlignment="1">
      <alignment vertical="top" wrapText="1"/>
    </xf>
    <xf numFmtId="184" fontId="69" fillId="36" borderId="12" xfId="0" applyNumberFormat="1" applyFont="1" applyFill="1" applyBorder="1" applyAlignment="1">
      <alignment vertical="top" wrapText="1"/>
    </xf>
    <xf numFmtId="184" fontId="55" fillId="0" borderId="17" xfId="0" applyNumberFormat="1" applyFont="1" applyFill="1" applyBorder="1" applyAlignment="1">
      <alignment horizontal="left" vertical="center" wrapText="1"/>
    </xf>
    <xf numFmtId="184" fontId="55" fillId="0" borderId="12" xfId="0" applyNumberFormat="1" applyFont="1" applyFill="1" applyBorder="1" applyAlignment="1">
      <alignment horizontal="center" vertical="top" wrapText="1"/>
    </xf>
    <xf numFmtId="1" fontId="55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1" fontId="71" fillId="37" borderId="12" xfId="0" applyNumberFormat="1" applyFont="1" applyFill="1" applyBorder="1" applyAlignment="1">
      <alignment horizontal="center" vertical="top" wrapText="1"/>
    </xf>
    <xf numFmtId="184" fontId="71" fillId="37" borderId="12" xfId="0" applyNumberFormat="1" applyFont="1" applyFill="1" applyBorder="1" applyAlignment="1">
      <alignment horizontal="center" vertical="top" wrapText="1"/>
    </xf>
    <xf numFmtId="1" fontId="59" fillId="37" borderId="12" xfId="0" applyNumberFormat="1" applyFont="1" applyFill="1" applyBorder="1" applyAlignment="1">
      <alignment horizontal="center" vertical="top" wrapText="1"/>
    </xf>
    <xf numFmtId="184" fontId="59" fillId="37" borderId="12" xfId="0" applyNumberFormat="1" applyFont="1" applyFill="1" applyBorder="1" applyAlignment="1">
      <alignment horizontal="center" vertical="top" wrapText="1"/>
    </xf>
    <xf numFmtId="1" fontId="55" fillId="37" borderId="12" xfId="0" applyNumberFormat="1" applyFont="1" applyFill="1" applyBorder="1" applyAlignment="1">
      <alignment horizontal="center" vertical="top" wrapText="1"/>
    </xf>
    <xf numFmtId="184" fontId="55" fillId="37" borderId="12" xfId="0" applyNumberFormat="1" applyFont="1" applyFill="1" applyBorder="1" applyAlignment="1">
      <alignment horizontal="center" vertical="top" wrapText="1"/>
    </xf>
    <xf numFmtId="184" fontId="69" fillId="37" borderId="12" xfId="0" applyNumberFormat="1" applyFont="1" applyFill="1" applyBorder="1" applyAlignment="1">
      <alignment horizontal="center" vertical="top" wrapText="1"/>
    </xf>
    <xf numFmtId="184" fontId="55" fillId="37" borderId="12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61" fillId="0" borderId="12" xfId="0" applyFont="1" applyFill="1" applyBorder="1" applyAlignment="1">
      <alignment vertical="center" wrapText="1"/>
    </xf>
    <xf numFmtId="0" fontId="60" fillId="0" borderId="0" xfId="0" applyFont="1" applyAlignment="1">
      <alignment wrapText="1"/>
    </xf>
    <xf numFmtId="184" fontId="55" fillId="0" borderId="17" xfId="0" applyNumberFormat="1" applyFont="1" applyFill="1" applyBorder="1" applyAlignment="1">
      <alignment horizontal="left" vertical="center" wrapText="1"/>
    </xf>
    <xf numFmtId="184" fontId="71" fillId="0" borderId="12" xfId="0" applyNumberFormat="1" applyFont="1" applyFill="1" applyBorder="1" applyAlignment="1">
      <alignment vertical="top" wrapText="1"/>
    </xf>
    <xf numFmtId="184" fontId="71" fillId="0" borderId="17" xfId="0" applyNumberFormat="1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55" fillId="0" borderId="28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55" fillId="0" borderId="18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3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wrapText="1"/>
    </xf>
    <xf numFmtId="184" fontId="71" fillId="0" borderId="18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55" fillId="0" borderId="18" xfId="0" applyNumberFormat="1" applyFont="1" applyFill="1" applyBorder="1" applyAlignment="1">
      <alignment horizontal="center" vertical="center" wrapText="1"/>
    </xf>
    <xf numFmtId="184" fontId="55" fillId="0" borderId="20" xfId="0" applyNumberFormat="1" applyFont="1" applyFill="1" applyBorder="1" applyAlignment="1">
      <alignment horizontal="center" vertical="center" wrapText="1"/>
    </xf>
    <xf numFmtId="184" fontId="55" fillId="0" borderId="17" xfId="0" applyNumberFormat="1" applyFont="1" applyFill="1" applyBorder="1" applyAlignment="1">
      <alignment horizontal="center" vertical="center" wrapText="1"/>
    </xf>
    <xf numFmtId="184" fontId="55" fillId="0" borderId="18" xfId="0" applyNumberFormat="1" applyFont="1" applyFill="1" applyBorder="1" applyAlignment="1">
      <alignment horizontal="left" vertical="center" wrapText="1"/>
    </xf>
    <xf numFmtId="184" fontId="55" fillId="0" borderId="20" xfId="0" applyNumberFormat="1" applyFont="1" applyFill="1" applyBorder="1" applyAlignment="1">
      <alignment horizontal="left" vertical="center" wrapText="1"/>
    </xf>
    <xf numFmtId="184" fontId="55" fillId="0" borderId="17" xfId="0" applyNumberFormat="1" applyFont="1" applyFill="1" applyBorder="1" applyAlignment="1">
      <alignment horizontal="left" vertical="center" wrapText="1"/>
    </xf>
    <xf numFmtId="184" fontId="61" fillId="0" borderId="18" xfId="0" applyNumberFormat="1" applyFont="1" applyFill="1" applyBorder="1" applyAlignment="1">
      <alignment horizontal="center" vertical="top" wrapText="1"/>
    </xf>
    <xf numFmtId="184" fontId="61" fillId="0" borderId="20" xfId="0" applyNumberFormat="1" applyFont="1" applyFill="1" applyBorder="1" applyAlignment="1">
      <alignment horizontal="center" vertical="top" wrapText="1"/>
    </xf>
    <xf numFmtId="184" fontId="61" fillId="0" borderId="17" xfId="0" applyNumberFormat="1" applyFont="1" applyFill="1" applyBorder="1" applyAlignment="1">
      <alignment horizontal="center" vertical="top" wrapText="1"/>
    </xf>
    <xf numFmtId="184" fontId="0" fillId="0" borderId="18" xfId="0" applyNumberFormat="1" applyFill="1" applyBorder="1" applyAlignment="1">
      <alignment horizontal="center" wrapText="1"/>
    </xf>
    <xf numFmtId="184" fontId="0" fillId="0" borderId="20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55" fillId="0" borderId="12" xfId="0" applyNumberFormat="1" applyFont="1" applyFill="1" applyBorder="1" applyAlignment="1">
      <alignment horizontal="center" vertical="top"/>
    </xf>
    <xf numFmtId="184" fontId="55" fillId="0" borderId="12" xfId="0" applyNumberFormat="1" applyFont="1" applyFill="1" applyBorder="1" applyAlignment="1">
      <alignment horizontal="center" vertical="center" wrapText="1"/>
    </xf>
    <xf numFmtId="184" fontId="71" fillId="33" borderId="18" xfId="0" applyNumberFormat="1" applyFont="1" applyFill="1" applyBorder="1" applyAlignment="1">
      <alignment horizontal="left" vertical="center" wrapText="1"/>
    </xf>
    <xf numFmtId="184" fontId="71" fillId="33" borderId="20" xfId="0" applyNumberFormat="1" applyFont="1" applyFill="1" applyBorder="1" applyAlignment="1">
      <alignment horizontal="left" vertical="center" wrapText="1"/>
    </xf>
    <xf numFmtId="184" fontId="71" fillId="33" borderId="17" xfId="0" applyNumberFormat="1" applyFont="1" applyFill="1" applyBorder="1" applyAlignment="1">
      <alignment horizontal="left" vertical="center" wrapText="1"/>
    </xf>
    <xf numFmtId="184" fontId="71" fillId="0" borderId="18" xfId="0" applyNumberFormat="1" applyFont="1" applyFill="1" applyBorder="1" applyAlignment="1">
      <alignment horizontal="left" vertical="center" wrapText="1"/>
    </xf>
    <xf numFmtId="184" fontId="71" fillId="0" borderId="20" xfId="0" applyNumberFormat="1" applyFont="1" applyFill="1" applyBorder="1" applyAlignment="1">
      <alignment horizontal="left" vertical="center" wrapText="1"/>
    </xf>
    <xf numFmtId="184" fontId="71" fillId="0" borderId="17" xfId="0" applyNumberFormat="1" applyFont="1" applyFill="1" applyBorder="1" applyAlignment="1">
      <alignment horizontal="left" vertical="center" wrapText="1"/>
    </xf>
    <xf numFmtId="184" fontId="55" fillId="0" borderId="18" xfId="0" applyNumberFormat="1" applyFont="1" applyFill="1" applyBorder="1" applyAlignment="1">
      <alignment horizontal="center" vertical="top" wrapText="1"/>
    </xf>
    <xf numFmtId="184" fontId="55" fillId="0" borderId="20" xfId="0" applyNumberFormat="1" applyFont="1" applyFill="1" applyBorder="1" applyAlignment="1">
      <alignment horizontal="center" vertical="top" wrapText="1"/>
    </xf>
    <xf numFmtId="184" fontId="55" fillId="0" borderId="17" xfId="0" applyNumberFormat="1" applyFont="1" applyFill="1" applyBorder="1" applyAlignment="1">
      <alignment horizontal="center" vertical="top" wrapText="1"/>
    </xf>
    <xf numFmtId="184" fontId="69" fillId="0" borderId="18" xfId="0" applyNumberFormat="1" applyFont="1" applyFill="1" applyBorder="1" applyAlignment="1">
      <alignment horizontal="center" vertical="center" wrapText="1"/>
    </xf>
    <xf numFmtId="184" fontId="69" fillId="0" borderId="20" xfId="0" applyNumberFormat="1" applyFont="1" applyFill="1" applyBorder="1" applyAlignment="1">
      <alignment horizontal="center" vertical="center" wrapText="1"/>
    </xf>
    <xf numFmtId="184" fontId="69" fillId="0" borderId="17" xfId="0" applyNumberFormat="1" applyFont="1" applyFill="1" applyBorder="1" applyAlignment="1">
      <alignment horizontal="center" vertical="center" wrapText="1"/>
    </xf>
    <xf numFmtId="184" fontId="69" fillId="0" borderId="18" xfId="0" applyNumberFormat="1" applyFont="1" applyFill="1" applyBorder="1" applyAlignment="1">
      <alignment horizontal="center" vertical="center"/>
    </xf>
    <xf numFmtId="184" fontId="69" fillId="0" borderId="20" xfId="0" applyNumberFormat="1" applyFont="1" applyFill="1" applyBorder="1" applyAlignment="1">
      <alignment horizontal="center" vertical="center"/>
    </xf>
    <xf numFmtId="184" fontId="69" fillId="0" borderId="17" xfId="0" applyNumberFormat="1" applyFont="1" applyFill="1" applyBorder="1" applyAlignment="1">
      <alignment horizontal="center" vertical="center"/>
    </xf>
    <xf numFmtId="184" fontId="61" fillId="0" borderId="12" xfId="0" applyNumberFormat="1" applyFont="1" applyFill="1" applyBorder="1" applyAlignment="1">
      <alignment horizontal="center" vertical="top" wrapText="1"/>
    </xf>
    <xf numFmtId="184" fontId="61" fillId="0" borderId="12" xfId="0" applyNumberFormat="1" applyFont="1" applyFill="1" applyBorder="1" applyAlignment="1">
      <alignment horizontal="center" wrapText="1"/>
    </xf>
    <xf numFmtId="184" fontId="59" fillId="0" borderId="12" xfId="0" applyNumberFormat="1" applyFont="1" applyFill="1" applyBorder="1" applyAlignment="1">
      <alignment horizontal="center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 horizontal="center" wrapText="1"/>
    </xf>
    <xf numFmtId="184" fontId="69" fillId="0" borderId="18" xfId="0" applyNumberFormat="1" applyFont="1" applyFill="1" applyBorder="1" applyAlignment="1">
      <alignment horizontal="center" vertical="top" wrapText="1"/>
    </xf>
    <xf numFmtId="184" fontId="69" fillId="0" borderId="20" xfId="0" applyNumberFormat="1" applyFont="1" applyFill="1" applyBorder="1" applyAlignment="1">
      <alignment horizontal="center" vertical="top" wrapText="1"/>
    </xf>
    <xf numFmtId="184" fontId="69" fillId="0" borderId="17" xfId="0" applyNumberFormat="1" applyFont="1" applyFill="1" applyBorder="1" applyAlignment="1">
      <alignment horizontal="center" vertical="top" wrapText="1"/>
    </xf>
    <xf numFmtId="184" fontId="59" fillId="0" borderId="30" xfId="0" applyNumberFormat="1" applyFont="1" applyFill="1" applyBorder="1" applyAlignment="1">
      <alignment horizontal="center" vertical="top" wrapText="1"/>
    </xf>
    <xf numFmtId="184" fontId="59" fillId="0" borderId="31" xfId="0" applyNumberFormat="1" applyFont="1" applyFill="1" applyBorder="1" applyAlignment="1">
      <alignment horizontal="center" vertical="top" wrapText="1"/>
    </xf>
    <xf numFmtId="184" fontId="59" fillId="0" borderId="21" xfId="0" applyNumberFormat="1" applyFont="1" applyFill="1" applyBorder="1" applyAlignment="1">
      <alignment horizontal="center" vertical="top" wrapText="1"/>
    </xf>
    <xf numFmtId="184" fontId="59" fillId="0" borderId="22" xfId="0" applyNumberFormat="1" applyFont="1" applyFill="1" applyBorder="1" applyAlignment="1">
      <alignment horizontal="center" vertical="top" wrapText="1"/>
    </xf>
    <xf numFmtId="184" fontId="59" fillId="0" borderId="32" xfId="0" applyNumberFormat="1" applyFont="1" applyFill="1" applyBorder="1" applyAlignment="1">
      <alignment horizontal="center" vertical="top" wrapText="1"/>
    </xf>
    <xf numFmtId="184" fontId="59" fillId="0" borderId="19" xfId="0" applyNumberFormat="1" applyFont="1" applyFill="1" applyBorder="1" applyAlignment="1">
      <alignment horizontal="center" vertical="top" wrapText="1"/>
    </xf>
    <xf numFmtId="184" fontId="70" fillId="0" borderId="14" xfId="0" applyNumberFormat="1" applyFont="1" applyFill="1" applyBorder="1" applyAlignment="1">
      <alignment horizontal="center" vertical="top" wrapText="1"/>
    </xf>
    <xf numFmtId="184" fontId="70" fillId="0" borderId="15" xfId="0" applyNumberFormat="1" applyFont="1" applyFill="1" applyBorder="1" applyAlignment="1">
      <alignment horizontal="center" vertical="top" wrapText="1"/>
    </xf>
    <xf numFmtId="184" fontId="70" fillId="0" borderId="16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" fontId="55" fillId="0" borderId="18" xfId="0" applyNumberFormat="1" applyFont="1" applyFill="1" applyBorder="1" applyAlignment="1">
      <alignment horizontal="center" vertical="top" wrapText="1"/>
    </xf>
    <xf numFmtId="1" fontId="55" fillId="0" borderId="17" xfId="0" applyNumberFormat="1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center"/>
    </xf>
    <xf numFmtId="0" fontId="61" fillId="0" borderId="12" xfId="0" applyFont="1" applyFill="1" applyBorder="1" applyAlignment="1">
      <alignment horizontal="center" vertical="top" wrapText="1"/>
    </xf>
    <xf numFmtId="177" fontId="61" fillId="0" borderId="12" xfId="0" applyNumberFormat="1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1" fontId="55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1" fontId="55" fillId="0" borderId="12" xfId="0" applyNumberFormat="1" applyFont="1" applyFill="1" applyBorder="1" applyAlignment="1">
      <alignment horizontal="center" vertical="center" wrapText="1"/>
    </xf>
    <xf numFmtId="184" fontId="55" fillId="0" borderId="12" xfId="0" applyNumberFormat="1" applyFont="1" applyFill="1" applyBorder="1" applyAlignment="1">
      <alignment vertical="top" wrapText="1"/>
    </xf>
    <xf numFmtId="184" fontId="56" fillId="0" borderId="12" xfId="0" applyNumberFormat="1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center" wrapText="1"/>
    </xf>
    <xf numFmtId="184" fontId="55" fillId="33" borderId="18" xfId="0" applyNumberFormat="1" applyFont="1" applyFill="1" applyBorder="1" applyAlignment="1">
      <alignment horizontal="center" vertical="top" wrapText="1"/>
    </xf>
    <xf numFmtId="184" fontId="55" fillId="33" borderId="20" xfId="0" applyNumberFormat="1" applyFont="1" applyFill="1" applyBorder="1" applyAlignment="1">
      <alignment horizontal="center" vertical="top" wrapText="1"/>
    </xf>
    <xf numFmtId="184" fontId="55" fillId="33" borderId="17" xfId="0" applyNumberFormat="1" applyFont="1" applyFill="1" applyBorder="1" applyAlignment="1">
      <alignment horizontal="center" vertical="top" wrapText="1"/>
    </xf>
    <xf numFmtId="184" fontId="55" fillId="0" borderId="18" xfId="0" applyNumberFormat="1" applyFont="1" applyFill="1" applyBorder="1" applyAlignment="1">
      <alignment horizontal="left" vertical="top" wrapText="1"/>
    </xf>
    <xf numFmtId="184" fontId="55" fillId="0" borderId="20" xfId="0" applyNumberFormat="1" applyFont="1" applyFill="1" applyBorder="1" applyAlignment="1">
      <alignment horizontal="left" vertical="top" wrapText="1"/>
    </xf>
    <xf numFmtId="184" fontId="55" fillId="0" borderId="17" xfId="0" applyNumberFormat="1" applyFont="1" applyFill="1" applyBorder="1" applyAlignment="1">
      <alignment horizontal="left" vertical="top" wrapText="1"/>
    </xf>
    <xf numFmtId="184" fontId="71" fillId="0" borderId="20" xfId="0" applyNumberFormat="1" applyFont="1" applyFill="1" applyBorder="1" applyAlignment="1">
      <alignment horizontal="center"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84" fontId="55" fillId="0" borderId="18" xfId="0" applyNumberFormat="1" applyFont="1" applyFill="1" applyBorder="1" applyAlignment="1">
      <alignment vertical="center" wrapText="1"/>
    </xf>
    <xf numFmtId="184" fontId="55" fillId="0" borderId="20" xfId="0" applyNumberFormat="1" applyFont="1" applyFill="1" applyBorder="1" applyAlignment="1">
      <alignment vertical="center" wrapText="1"/>
    </xf>
    <xf numFmtId="184" fontId="55" fillId="0" borderId="17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horizontal="right"/>
    </xf>
    <xf numFmtId="184" fontId="71" fillId="0" borderId="30" xfId="0" applyNumberFormat="1" applyFont="1" applyFill="1" applyBorder="1" applyAlignment="1">
      <alignment horizontal="center" vertical="top" wrapText="1"/>
    </xf>
    <xf numFmtId="184" fontId="71" fillId="0" borderId="31" xfId="0" applyNumberFormat="1" applyFont="1" applyFill="1" applyBorder="1" applyAlignment="1">
      <alignment horizontal="center" vertical="top" wrapText="1"/>
    </xf>
    <xf numFmtId="184" fontId="71" fillId="0" borderId="21" xfId="0" applyNumberFormat="1" applyFont="1" applyFill="1" applyBorder="1" applyAlignment="1">
      <alignment horizontal="center" vertical="top" wrapText="1"/>
    </xf>
    <xf numFmtId="184" fontId="71" fillId="0" borderId="22" xfId="0" applyNumberFormat="1" applyFont="1" applyFill="1" applyBorder="1" applyAlignment="1">
      <alignment horizontal="center" vertical="top" wrapText="1"/>
    </xf>
    <xf numFmtId="184" fontId="71" fillId="0" borderId="32" xfId="0" applyNumberFormat="1" applyFont="1" applyFill="1" applyBorder="1" applyAlignment="1">
      <alignment horizontal="center" vertical="top" wrapText="1"/>
    </xf>
    <xf numFmtId="184" fontId="71" fillId="0" borderId="19" xfId="0" applyNumberFormat="1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left" vertical="top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30" xfId="0" applyFont="1" applyFill="1" applyBorder="1" applyAlignment="1">
      <alignment horizontal="center" vertical="top" wrapText="1"/>
    </xf>
    <xf numFmtId="0" fontId="61" fillId="0" borderId="31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left" vertical="top" wrapText="1"/>
    </xf>
    <xf numFmtId="0" fontId="56" fillId="0" borderId="33" xfId="0" applyFont="1" applyFill="1" applyBorder="1" applyAlignment="1">
      <alignment horizontal="left" vertical="top" wrapText="1"/>
    </xf>
    <xf numFmtId="0" fontId="56" fillId="0" borderId="31" xfId="0" applyFont="1" applyFill="1" applyBorder="1" applyAlignment="1">
      <alignment horizontal="left" vertical="top" wrapText="1"/>
    </xf>
    <xf numFmtId="0" fontId="56" fillId="0" borderId="32" xfId="0" applyFont="1" applyFill="1" applyBorder="1" applyAlignment="1">
      <alignment horizontal="left" vertical="top" wrapText="1"/>
    </xf>
    <xf numFmtId="0" fontId="56" fillId="0" borderId="34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71" fillId="0" borderId="35" xfId="0" applyFont="1" applyFill="1" applyBorder="1" applyAlignment="1">
      <alignment horizontal="center" wrapText="1"/>
    </xf>
    <xf numFmtId="0" fontId="71" fillId="0" borderId="15" xfId="0" applyFont="1" applyFill="1" applyBorder="1" applyAlignment="1">
      <alignment horizontal="center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20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1" fillId="0" borderId="33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34" xfId="0" applyFont="1" applyFill="1" applyBorder="1" applyAlignment="1">
      <alignment horizontal="center" vertical="top" wrapText="1"/>
    </xf>
    <xf numFmtId="2" fontId="61" fillId="0" borderId="18" xfId="0" applyNumberFormat="1" applyFont="1" applyFill="1" applyBorder="1" applyAlignment="1">
      <alignment horizontal="center" vertical="top" wrapText="1"/>
    </xf>
    <xf numFmtId="2" fontId="61" fillId="0" borderId="20" xfId="0" applyNumberFormat="1" applyFont="1" applyFill="1" applyBorder="1" applyAlignment="1">
      <alignment horizontal="center" vertical="top" wrapText="1"/>
    </xf>
    <xf numFmtId="2" fontId="6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3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0" fontId="67" fillId="0" borderId="34" xfId="0" applyFont="1" applyBorder="1" applyAlignment="1">
      <alignment horizontal="center" vertical="center"/>
    </xf>
    <xf numFmtId="0" fontId="56" fillId="0" borderId="34" xfId="0" applyFont="1" applyBorder="1" applyAlignment="1">
      <alignment/>
    </xf>
    <xf numFmtId="0" fontId="63" fillId="0" borderId="3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7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6" xfId="0" applyFont="1" applyFill="1" applyBorder="1" applyAlignment="1">
      <alignment vertical="top" wrapText="1"/>
    </xf>
    <xf numFmtId="0" fontId="63" fillId="0" borderId="31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56" fillId="0" borderId="31" xfId="0" applyFont="1" applyFill="1" applyBorder="1" applyAlignment="1">
      <alignment vertical="top" wrapText="1"/>
    </xf>
    <xf numFmtId="0" fontId="56" fillId="0" borderId="21" xfId="0" applyFont="1" applyFill="1" applyBorder="1" applyAlignment="1">
      <alignment vertical="top" wrapText="1"/>
    </xf>
    <xf numFmtId="0" fontId="56" fillId="0" borderId="22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vertical="top" wrapText="1"/>
    </xf>
    <xf numFmtId="0" fontId="63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C13">
      <selection activeCell="D32" sqref="D32:D33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8515625" style="0" bestFit="1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271"/>
      <c r="L1" s="271"/>
    </row>
    <row r="2" spans="1:12" ht="14.25">
      <c r="A2" s="276" t="s">
        <v>310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84" t="s">
        <v>313</v>
      </c>
      <c r="K3" s="284"/>
      <c r="L3" s="284"/>
    </row>
    <row r="4" spans="1:12" ht="14.25">
      <c r="A4" s="20"/>
      <c r="B4" s="20"/>
      <c r="C4" s="20"/>
      <c r="D4" s="20"/>
      <c r="E4" s="20"/>
      <c r="F4" s="27"/>
      <c r="G4" s="27"/>
      <c r="H4" s="20"/>
      <c r="I4" s="254"/>
      <c r="J4" s="283" t="s">
        <v>308</v>
      </c>
      <c r="K4" s="283"/>
      <c r="L4" s="283"/>
    </row>
    <row r="5" spans="1:12" ht="14.25">
      <c r="A5" s="10"/>
      <c r="B5" s="10"/>
      <c r="C5" s="10"/>
      <c r="D5" s="11"/>
      <c r="E5" s="10"/>
      <c r="F5" s="10"/>
      <c r="G5" s="10"/>
      <c r="H5" s="18"/>
      <c r="I5" s="10"/>
      <c r="J5" s="10"/>
      <c r="K5" s="276"/>
      <c r="L5" s="276"/>
    </row>
    <row r="6" spans="1:12" ht="14.25">
      <c r="A6" s="10"/>
      <c r="B6" s="10"/>
      <c r="C6" s="10"/>
      <c r="D6" s="11"/>
      <c r="E6" s="10"/>
      <c r="F6" s="10"/>
      <c r="G6" s="10"/>
      <c r="H6" s="18"/>
      <c r="I6" s="10"/>
      <c r="J6" s="10"/>
      <c r="K6" s="21"/>
      <c r="L6" s="21"/>
    </row>
    <row r="7" ht="18" thickBot="1">
      <c r="B7" s="6" t="s">
        <v>17</v>
      </c>
    </row>
    <row r="8" spans="1:11" ht="26.25" customHeight="1">
      <c r="A8" s="280" t="s">
        <v>0</v>
      </c>
      <c r="B8" s="268" t="s">
        <v>142</v>
      </c>
      <c r="C8" s="265" t="s">
        <v>2</v>
      </c>
      <c r="D8" s="28" t="s">
        <v>3</v>
      </c>
      <c r="E8" s="261" t="s">
        <v>5</v>
      </c>
      <c r="F8" s="261"/>
      <c r="G8" s="261"/>
      <c r="H8" s="275"/>
      <c r="I8" s="275"/>
      <c r="J8" s="277" t="s">
        <v>7</v>
      </c>
      <c r="K8" s="272" t="s">
        <v>143</v>
      </c>
    </row>
    <row r="9" spans="1:11" ht="15.75" customHeight="1">
      <c r="A9" s="281"/>
      <c r="B9" s="269"/>
      <c r="C9" s="266"/>
      <c r="D9" s="28" t="s">
        <v>4</v>
      </c>
      <c r="E9" s="261" t="s">
        <v>213</v>
      </c>
      <c r="F9" s="261" t="s">
        <v>6</v>
      </c>
      <c r="G9" s="261"/>
      <c r="H9" s="261"/>
      <c r="I9" s="261"/>
      <c r="J9" s="278"/>
      <c r="K9" s="273"/>
    </row>
    <row r="10" spans="1:11" ht="20.25" customHeight="1" thickBot="1">
      <c r="A10" s="282"/>
      <c r="B10" s="270"/>
      <c r="C10" s="267"/>
      <c r="D10" s="31"/>
      <c r="E10" s="261"/>
      <c r="F10" s="261" t="s">
        <v>212</v>
      </c>
      <c r="G10" s="261"/>
      <c r="H10" s="261"/>
      <c r="I10" s="261" t="s">
        <v>8</v>
      </c>
      <c r="J10" s="278"/>
      <c r="K10" s="274"/>
    </row>
    <row r="11" spans="1:11" ht="21" customHeight="1" thickBot="1">
      <c r="A11" s="26"/>
      <c r="B11" s="1"/>
      <c r="C11" s="40"/>
      <c r="D11" s="31"/>
      <c r="E11" s="261"/>
      <c r="F11" s="261" t="s">
        <v>203</v>
      </c>
      <c r="G11" s="261" t="s">
        <v>204</v>
      </c>
      <c r="H11" s="261"/>
      <c r="I11" s="261"/>
      <c r="J11" s="278"/>
      <c r="K11" s="1"/>
    </row>
    <row r="12" spans="1:11" ht="39" customHeight="1" thickBot="1">
      <c r="A12" s="26"/>
      <c r="B12" s="1"/>
      <c r="C12" s="40"/>
      <c r="D12" s="31"/>
      <c r="E12" s="261"/>
      <c r="F12" s="261"/>
      <c r="G12" s="28" t="s">
        <v>205</v>
      </c>
      <c r="H12" s="28" t="s">
        <v>207</v>
      </c>
      <c r="I12" s="261"/>
      <c r="J12" s="279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262" t="s">
        <v>9</v>
      </c>
      <c r="B14" s="262" t="s">
        <v>154</v>
      </c>
      <c r="C14" s="3">
        <v>2017</v>
      </c>
      <c r="D14" s="125">
        <f aca="true" t="shared" si="0" ref="D14:D25">H14+I14+J14</f>
        <v>83856.64676000002</v>
      </c>
      <c r="E14" s="125"/>
      <c r="F14" s="125">
        <f>G14+H14</f>
        <v>9038.8</v>
      </c>
      <c r="G14" s="125"/>
      <c r="H14" s="125">
        <f>H21</f>
        <v>9038.8</v>
      </c>
      <c r="I14" s="125">
        <f>I21+I28+I35</f>
        <v>74817.84676000001</v>
      </c>
      <c r="J14" s="125">
        <v>0</v>
      </c>
      <c r="K14" s="262" t="s">
        <v>10</v>
      </c>
    </row>
    <row r="15" spans="1:11" ht="20.25" customHeight="1" thickBot="1">
      <c r="A15" s="263"/>
      <c r="B15" s="263"/>
      <c r="C15" s="144">
        <v>2018</v>
      </c>
      <c r="D15" s="145">
        <f t="shared" si="0"/>
        <v>81456.39127</v>
      </c>
      <c r="E15" s="145"/>
      <c r="F15" s="145">
        <f>H15+G15</f>
        <v>10207.418000000001</v>
      </c>
      <c r="G15" s="145"/>
      <c r="H15" s="145">
        <f>SUM(H22+H29+H36)</f>
        <v>10207.418000000001</v>
      </c>
      <c r="I15" s="145">
        <f>SUM(I22+I29+I36)</f>
        <v>65309.934519999995</v>
      </c>
      <c r="J15" s="145">
        <f>J22</f>
        <v>5939.03875</v>
      </c>
      <c r="K15" s="263"/>
    </row>
    <row r="16" spans="1:11" ht="15.75" thickBot="1">
      <c r="A16" s="263"/>
      <c r="B16" s="263"/>
      <c r="C16" s="189">
        <v>2019</v>
      </c>
      <c r="D16" s="190">
        <f>F16+I16+J16</f>
        <v>91407.94608000001</v>
      </c>
      <c r="E16" s="190"/>
      <c r="F16" s="190">
        <f>G16+H16</f>
        <v>15341.064000000002</v>
      </c>
      <c r="G16" s="190">
        <f>G30</f>
        <v>0</v>
      </c>
      <c r="H16" s="190">
        <f>H23+H30</f>
        <v>15341.064000000002</v>
      </c>
      <c r="I16" s="190">
        <f>I23+I30+I37</f>
        <v>68070.1086</v>
      </c>
      <c r="J16" s="190">
        <f>J23</f>
        <v>7996.773480000001</v>
      </c>
      <c r="K16" s="263"/>
    </row>
    <row r="17" spans="1:11" ht="21" customHeight="1" thickBot="1">
      <c r="A17" s="263"/>
      <c r="B17" s="263"/>
      <c r="C17" s="144">
        <v>2020</v>
      </c>
      <c r="D17" s="145">
        <f>H17+I17+J17</f>
        <v>78459.93748</v>
      </c>
      <c r="E17" s="145"/>
      <c r="F17" s="145">
        <f>H17</f>
        <v>13006.964000000002</v>
      </c>
      <c r="G17" s="145"/>
      <c r="H17" s="145">
        <f>H24+H31</f>
        <v>13006.964000000002</v>
      </c>
      <c r="I17" s="145">
        <f>I24+I31+I38</f>
        <v>57456.19999999999</v>
      </c>
      <c r="J17" s="145">
        <f>J24</f>
        <v>7996.773480000001</v>
      </c>
      <c r="K17" s="263"/>
    </row>
    <row r="18" spans="1:11" ht="21" customHeight="1" thickBot="1">
      <c r="A18" s="263"/>
      <c r="B18" s="263"/>
      <c r="C18" s="144">
        <v>2021</v>
      </c>
      <c r="D18" s="145">
        <f>H18+I18+J18</f>
        <v>73055.93748000001</v>
      </c>
      <c r="E18" s="145"/>
      <c r="F18" s="145">
        <f>H18</f>
        <v>10602.964</v>
      </c>
      <c r="G18" s="145"/>
      <c r="H18" s="145">
        <f>H25</f>
        <v>10602.964</v>
      </c>
      <c r="I18" s="145">
        <f>I25+I32+I39</f>
        <v>54456.200000000004</v>
      </c>
      <c r="J18" s="145">
        <f>J25</f>
        <v>7996.773480000001</v>
      </c>
      <c r="K18" s="263"/>
    </row>
    <row r="19" spans="1:11" ht="21" customHeight="1" thickBot="1">
      <c r="A19" s="263"/>
      <c r="B19" s="264"/>
      <c r="C19" s="144">
        <v>2022</v>
      </c>
      <c r="D19" s="145">
        <f>J19+I19+H19</f>
        <v>73055.93748000001</v>
      </c>
      <c r="E19" s="145"/>
      <c r="F19" s="145">
        <f>H19</f>
        <v>10602.964</v>
      </c>
      <c r="G19" s="145"/>
      <c r="H19" s="145">
        <f>H26</f>
        <v>10602.964</v>
      </c>
      <c r="I19" s="145">
        <f>I26+I33+I40</f>
        <v>54456.200000000004</v>
      </c>
      <c r="J19" s="145">
        <f>J26</f>
        <v>7996.773480000001</v>
      </c>
      <c r="K19" s="263"/>
    </row>
    <row r="20" spans="1:11" ht="30.75" customHeight="1" thickBot="1">
      <c r="A20" s="264"/>
      <c r="B20" s="4" t="s">
        <v>11</v>
      </c>
      <c r="C20" s="146" t="s">
        <v>296</v>
      </c>
      <c r="D20" s="147">
        <f>SUM(D14:D19)</f>
        <v>481292.7965500001</v>
      </c>
      <c r="E20" s="147"/>
      <c r="F20" s="147">
        <f>SUM(F14:F19)</f>
        <v>68800.174</v>
      </c>
      <c r="G20" s="147">
        <f>G16</f>
        <v>0</v>
      </c>
      <c r="H20" s="147">
        <f>SUM(H14:H19)</f>
        <v>68800.174</v>
      </c>
      <c r="I20" s="147">
        <f>SUM(I14:I19)</f>
        <v>374566.48988</v>
      </c>
      <c r="J20" s="147">
        <f>SUM(J14:J19)</f>
        <v>37926.13267</v>
      </c>
      <c r="K20" s="264"/>
    </row>
    <row r="21" spans="1:11" ht="30.75" customHeight="1" thickBot="1">
      <c r="A21" s="262" t="s">
        <v>12</v>
      </c>
      <c r="B21" s="262" t="s">
        <v>155</v>
      </c>
      <c r="C21" s="144">
        <v>2017</v>
      </c>
      <c r="D21" s="145">
        <f t="shared" si="0"/>
        <v>83485.04676000001</v>
      </c>
      <c r="E21" s="145"/>
      <c r="F21" s="145">
        <f>G21+H21</f>
        <v>9038.8</v>
      </c>
      <c r="G21" s="145"/>
      <c r="H21" s="145">
        <f>'под. культура'!H483</f>
        <v>9038.8</v>
      </c>
      <c r="I21" s="145">
        <f>'под. культура'!I483</f>
        <v>74446.24676000001</v>
      </c>
      <c r="J21" s="145">
        <f>'под. культура'!J483</f>
        <v>0</v>
      </c>
      <c r="K21" s="262" t="s">
        <v>10</v>
      </c>
    </row>
    <row r="22" spans="1:11" ht="27" customHeight="1" thickBot="1">
      <c r="A22" s="263"/>
      <c r="B22" s="263"/>
      <c r="C22" s="144">
        <v>2018</v>
      </c>
      <c r="D22" s="145">
        <f t="shared" si="0"/>
        <v>81020.64127</v>
      </c>
      <c r="E22" s="145"/>
      <c r="F22" s="145">
        <f>G22+H22</f>
        <v>10207.418000000001</v>
      </c>
      <c r="G22" s="145"/>
      <c r="H22" s="145">
        <f>'под. культура'!H484</f>
        <v>10207.418000000001</v>
      </c>
      <c r="I22" s="145">
        <f>'под. культура'!I484</f>
        <v>64874.184519999995</v>
      </c>
      <c r="J22" s="145">
        <f>'под. культура'!J463</f>
        <v>5939.03875</v>
      </c>
      <c r="K22" s="263"/>
    </row>
    <row r="23" spans="1:11" ht="27" customHeight="1" thickBot="1">
      <c r="A23" s="263"/>
      <c r="B23" s="263"/>
      <c r="C23" s="189">
        <v>2019</v>
      </c>
      <c r="D23" s="190">
        <f t="shared" si="0"/>
        <v>85890.21108000001</v>
      </c>
      <c r="E23" s="190"/>
      <c r="F23" s="190">
        <f>G23+H23</f>
        <v>10602.964000000002</v>
      </c>
      <c r="G23" s="190"/>
      <c r="H23" s="190">
        <f>'под. культура'!H485</f>
        <v>10602.964000000002</v>
      </c>
      <c r="I23" s="190">
        <f>'под. культура'!I485</f>
        <v>67290.4736</v>
      </c>
      <c r="J23" s="190">
        <f>'под. культура'!J464</f>
        <v>7996.773480000001</v>
      </c>
      <c r="K23" s="263"/>
    </row>
    <row r="24" spans="1:11" ht="24.75" customHeight="1" thickBot="1">
      <c r="A24" s="263"/>
      <c r="B24" s="263"/>
      <c r="C24" s="144">
        <v>2020</v>
      </c>
      <c r="D24" s="145">
        <f>H24+I24+J24</f>
        <v>78046.83748</v>
      </c>
      <c r="E24" s="145"/>
      <c r="F24" s="145">
        <f>G24+H24</f>
        <v>13006.964000000002</v>
      </c>
      <c r="G24" s="145"/>
      <c r="H24" s="145">
        <f>'под. культура'!H486</f>
        <v>13006.964000000002</v>
      </c>
      <c r="I24" s="145">
        <f>'под. культура'!I486</f>
        <v>57043.09999999999</v>
      </c>
      <c r="J24" s="145">
        <f>'под. культура'!J465</f>
        <v>7996.773480000001</v>
      </c>
      <c r="K24" s="263"/>
    </row>
    <row r="25" spans="1:11" ht="24.75" customHeight="1" thickBot="1">
      <c r="A25" s="263"/>
      <c r="B25" s="263"/>
      <c r="C25" s="144">
        <v>2021</v>
      </c>
      <c r="D25" s="145">
        <f t="shared" si="0"/>
        <v>72642.83748</v>
      </c>
      <c r="E25" s="145"/>
      <c r="F25" s="145">
        <f>H25</f>
        <v>10602.964</v>
      </c>
      <c r="G25" s="145"/>
      <c r="H25" s="145">
        <f>'под. культура'!H487</f>
        <v>10602.964</v>
      </c>
      <c r="I25" s="145">
        <f>'под. культура'!I487</f>
        <v>54043.100000000006</v>
      </c>
      <c r="J25" s="145">
        <f>'под. культура'!J487</f>
        <v>7996.773480000001</v>
      </c>
      <c r="K25" s="263"/>
    </row>
    <row r="26" spans="1:11" ht="24.75" customHeight="1" thickBot="1">
      <c r="A26" s="263"/>
      <c r="B26" s="264"/>
      <c r="C26" s="144">
        <v>2022</v>
      </c>
      <c r="D26" s="145">
        <f>I26+J26+H26</f>
        <v>72642.83748000002</v>
      </c>
      <c r="E26" s="145"/>
      <c r="F26" s="145">
        <f>H26</f>
        <v>10602.964</v>
      </c>
      <c r="G26" s="145"/>
      <c r="H26" s="145">
        <f>'под. культура'!H488</f>
        <v>10602.964</v>
      </c>
      <c r="I26" s="145">
        <f>'под. культура'!I488</f>
        <v>54043.100000000006</v>
      </c>
      <c r="J26" s="145">
        <f>'под. культура'!J488</f>
        <v>7996.773480000001</v>
      </c>
      <c r="K26" s="263"/>
    </row>
    <row r="27" spans="1:11" ht="21" customHeight="1" thickBot="1">
      <c r="A27" s="264"/>
      <c r="B27" s="4" t="s">
        <v>13</v>
      </c>
      <c r="C27" s="146" t="s">
        <v>297</v>
      </c>
      <c r="D27" s="147">
        <f>SUM(D21:D26)</f>
        <v>473728.4115500001</v>
      </c>
      <c r="E27" s="147"/>
      <c r="F27" s="147">
        <f>SUM(F21:F26)</f>
        <v>64062.074</v>
      </c>
      <c r="G27" s="147"/>
      <c r="H27" s="147">
        <f>SUM(H21:H26)</f>
        <v>64062.074</v>
      </c>
      <c r="I27" s="147">
        <f>SUM(I21:I26)</f>
        <v>371740.20488</v>
      </c>
      <c r="J27" s="147">
        <f>SUM(J21:J26)</f>
        <v>37926.13267</v>
      </c>
      <c r="K27" s="264"/>
    </row>
    <row r="28" spans="1:11" ht="21" customHeight="1" thickBot="1">
      <c r="A28" s="262" t="s">
        <v>14</v>
      </c>
      <c r="B28" s="262" t="s">
        <v>161</v>
      </c>
      <c r="C28" s="144">
        <v>2017</v>
      </c>
      <c r="D28" s="145">
        <f>I28</f>
        <v>358.5</v>
      </c>
      <c r="E28" s="147"/>
      <c r="F28" s="147"/>
      <c r="G28" s="147"/>
      <c r="H28" s="147"/>
      <c r="I28" s="145">
        <f>'подпр Физ и спорт'!O49</f>
        <v>358.5</v>
      </c>
      <c r="J28" s="147"/>
      <c r="K28" s="262" t="s">
        <v>10</v>
      </c>
    </row>
    <row r="29" spans="1:11" ht="19.5" customHeight="1" thickBot="1">
      <c r="A29" s="263"/>
      <c r="B29" s="263"/>
      <c r="C29" s="144">
        <v>2018</v>
      </c>
      <c r="D29" s="145">
        <f>H29+I29</f>
        <v>428.5</v>
      </c>
      <c r="E29" s="145"/>
      <c r="F29" s="145"/>
      <c r="G29" s="145"/>
      <c r="H29" s="145"/>
      <c r="I29" s="145">
        <f>'подпр Физ и спорт'!O50+70</f>
        <v>428.5</v>
      </c>
      <c r="J29" s="147"/>
      <c r="K29" s="263"/>
    </row>
    <row r="30" spans="1:11" ht="15.75" thickBot="1">
      <c r="A30" s="263"/>
      <c r="B30" s="263"/>
      <c r="C30" s="189">
        <v>2019</v>
      </c>
      <c r="D30" s="190">
        <f>H30+I30+G30</f>
        <v>5504.634999999999</v>
      </c>
      <c r="E30" s="191"/>
      <c r="F30" s="190">
        <f>H30+G30</f>
        <v>4738.099999999999</v>
      </c>
      <c r="G30" s="190">
        <f>'подпр Физ и спорт'!H61</f>
        <v>0</v>
      </c>
      <c r="H30" s="190">
        <f>'подпр Физ и спорт'!I85</f>
        <v>4738.099999999999</v>
      </c>
      <c r="I30" s="190">
        <f>'подпр Физ и спорт'!O85</f>
        <v>766.5350000000001</v>
      </c>
      <c r="J30" s="147"/>
      <c r="K30" s="263"/>
    </row>
    <row r="31" spans="1:11" ht="24" customHeight="1" thickBot="1">
      <c r="A31" s="263"/>
      <c r="B31" s="263"/>
      <c r="C31" s="144">
        <v>2020</v>
      </c>
      <c r="D31" s="145">
        <f>H31+I31</f>
        <v>400</v>
      </c>
      <c r="E31" s="147"/>
      <c r="F31" s="145">
        <f>G31+H31</f>
        <v>0</v>
      </c>
      <c r="G31" s="147"/>
      <c r="H31" s="145">
        <f>'подпр Физ и спорт'!I86</f>
        <v>0</v>
      </c>
      <c r="I31" s="145">
        <f>'подпр Физ и спорт'!O86</f>
        <v>400</v>
      </c>
      <c r="J31" s="147"/>
      <c r="K31" s="263"/>
    </row>
    <row r="32" spans="1:11" ht="24" customHeight="1" thickBot="1">
      <c r="A32" s="263"/>
      <c r="B32" s="263"/>
      <c r="C32" s="144">
        <v>2021</v>
      </c>
      <c r="D32" s="145">
        <f>H32+I32+J32</f>
        <v>400</v>
      </c>
      <c r="E32" s="147"/>
      <c r="F32" s="145">
        <f>H32</f>
        <v>0</v>
      </c>
      <c r="G32" s="147"/>
      <c r="H32" s="145">
        <v>0</v>
      </c>
      <c r="I32" s="145">
        <f>'подпр Физ и спорт'!O87</f>
        <v>400</v>
      </c>
      <c r="J32" s="147"/>
      <c r="K32" s="263"/>
    </row>
    <row r="33" spans="1:11" ht="24" customHeight="1" thickBot="1">
      <c r="A33" s="263"/>
      <c r="B33" s="264"/>
      <c r="C33" s="144">
        <v>2022</v>
      </c>
      <c r="D33" s="145">
        <f>I33</f>
        <v>400</v>
      </c>
      <c r="E33" s="147"/>
      <c r="F33" s="145"/>
      <c r="G33" s="147"/>
      <c r="H33" s="145"/>
      <c r="I33" s="145">
        <f>'подпр Физ и спорт'!O88</f>
        <v>400</v>
      </c>
      <c r="J33" s="147"/>
      <c r="K33" s="263"/>
    </row>
    <row r="34" spans="1:11" ht="18" customHeight="1" thickBot="1">
      <c r="A34" s="264"/>
      <c r="B34" s="4" t="s">
        <v>15</v>
      </c>
      <c r="C34" s="146" t="s">
        <v>297</v>
      </c>
      <c r="D34" s="147">
        <f>SUM(D28:D33)</f>
        <v>7491.634999999999</v>
      </c>
      <c r="E34" s="147"/>
      <c r="F34" s="147">
        <f>SUM(F28:F32)</f>
        <v>4738.099999999999</v>
      </c>
      <c r="G34" s="147">
        <f>G30</f>
        <v>0</v>
      </c>
      <c r="H34" s="147">
        <f>SUM(H28:H32)</f>
        <v>4738.099999999999</v>
      </c>
      <c r="I34" s="147">
        <f>SUM(I28:I32)</f>
        <v>2353.535</v>
      </c>
      <c r="J34" s="147"/>
      <c r="K34" s="264"/>
    </row>
    <row r="35" spans="1:11" ht="18" customHeight="1" thickBot="1">
      <c r="A35" s="262" t="s">
        <v>16</v>
      </c>
      <c r="B35" s="262" t="s">
        <v>156</v>
      </c>
      <c r="C35" s="144">
        <v>2017</v>
      </c>
      <c r="D35" s="145">
        <f>I35</f>
        <v>13.1</v>
      </c>
      <c r="E35" s="147"/>
      <c r="F35" s="147"/>
      <c r="G35" s="147"/>
      <c r="H35" s="147"/>
      <c r="I35" s="145">
        <f>'подпр Прав культ'!I86</f>
        <v>13.1</v>
      </c>
      <c r="J35" s="147"/>
      <c r="K35" s="262" t="s">
        <v>10</v>
      </c>
    </row>
    <row r="36" spans="1:11" ht="24" customHeight="1" thickBot="1">
      <c r="A36" s="263"/>
      <c r="B36" s="263"/>
      <c r="C36" s="144">
        <v>2018</v>
      </c>
      <c r="D36" s="145">
        <f>H36+I36</f>
        <v>7.25</v>
      </c>
      <c r="E36" s="147"/>
      <c r="F36" s="147"/>
      <c r="G36" s="147"/>
      <c r="H36" s="147"/>
      <c r="I36" s="145">
        <f>'подпр Прав культ'!I87</f>
        <v>7.25</v>
      </c>
      <c r="J36" s="147"/>
      <c r="K36" s="263"/>
    </row>
    <row r="37" spans="1:11" ht="15.75" thickBot="1">
      <c r="A37" s="263"/>
      <c r="B37" s="263"/>
      <c r="C37" s="189">
        <v>2019</v>
      </c>
      <c r="D37" s="190">
        <f>'подпр Прав культ'!I88</f>
        <v>13.100000000000001</v>
      </c>
      <c r="E37" s="191"/>
      <c r="F37" s="191"/>
      <c r="G37" s="191"/>
      <c r="H37" s="191"/>
      <c r="I37" s="190">
        <f>D37</f>
        <v>13.100000000000001</v>
      </c>
      <c r="J37" s="147"/>
      <c r="K37" s="263"/>
    </row>
    <row r="38" spans="1:11" ht="18" customHeight="1" thickBot="1">
      <c r="A38" s="263"/>
      <c r="B38" s="263"/>
      <c r="C38" s="144">
        <v>2020</v>
      </c>
      <c r="D38" s="145">
        <f>'подпр Прав культ'!I89</f>
        <v>13.100000000000001</v>
      </c>
      <c r="E38" s="147"/>
      <c r="F38" s="147"/>
      <c r="G38" s="147"/>
      <c r="H38" s="147"/>
      <c r="I38" s="145">
        <f>D38</f>
        <v>13.100000000000001</v>
      </c>
      <c r="J38" s="147"/>
      <c r="K38" s="263"/>
    </row>
    <row r="39" spans="1:11" ht="18" customHeight="1" thickBot="1">
      <c r="A39" s="263"/>
      <c r="B39" s="263"/>
      <c r="C39" s="144">
        <v>2021</v>
      </c>
      <c r="D39" s="145">
        <f>I39</f>
        <v>13.100000000000001</v>
      </c>
      <c r="E39" s="147"/>
      <c r="F39" s="147"/>
      <c r="G39" s="147"/>
      <c r="H39" s="147"/>
      <c r="I39" s="145">
        <f>'подпр Прав культ'!I90</f>
        <v>13.100000000000001</v>
      </c>
      <c r="J39" s="147"/>
      <c r="K39" s="263"/>
    </row>
    <row r="40" spans="1:11" ht="18" customHeight="1" thickBot="1">
      <c r="A40" s="263"/>
      <c r="B40" s="264"/>
      <c r="C40" s="144">
        <v>2022</v>
      </c>
      <c r="D40" s="145">
        <f>I40</f>
        <v>13.1</v>
      </c>
      <c r="E40" s="147"/>
      <c r="F40" s="147"/>
      <c r="G40" s="147"/>
      <c r="H40" s="147"/>
      <c r="I40" s="145">
        <f>'подпр Прав культ'!I91</f>
        <v>13.1</v>
      </c>
      <c r="J40" s="147"/>
      <c r="K40" s="263"/>
    </row>
    <row r="41" spans="1:11" ht="16.5" customHeight="1" thickBot="1">
      <c r="A41" s="264"/>
      <c r="B41" s="4" t="s">
        <v>15</v>
      </c>
      <c r="C41" s="5" t="s">
        <v>296</v>
      </c>
      <c r="D41" s="121">
        <f>SUM(D35:D40)</f>
        <v>72.75</v>
      </c>
      <c r="E41" s="121"/>
      <c r="F41" s="121"/>
      <c r="G41" s="121"/>
      <c r="H41" s="121"/>
      <c r="I41" s="121">
        <f>SUM(I35:I39)</f>
        <v>59.650000000000006</v>
      </c>
      <c r="J41" s="121"/>
      <c r="K41" s="264"/>
    </row>
  </sheetData>
  <sheetProtection/>
  <mergeCells count="29">
    <mergeCell ref="K14:K20"/>
    <mergeCell ref="F9:I9"/>
    <mergeCell ref="J8:J12"/>
    <mergeCell ref="A8:A10"/>
    <mergeCell ref="J4:L4"/>
    <mergeCell ref="J3:L3"/>
    <mergeCell ref="K5:L5"/>
    <mergeCell ref="I10:I12"/>
    <mergeCell ref="F10:H10"/>
    <mergeCell ref="F11:F12"/>
    <mergeCell ref="K1:L1"/>
    <mergeCell ref="K8:K10"/>
    <mergeCell ref="E8:I8"/>
    <mergeCell ref="E9:E12"/>
    <mergeCell ref="K35:K41"/>
    <mergeCell ref="K21:K27"/>
    <mergeCell ref="K28:K34"/>
    <mergeCell ref="A2:L2"/>
    <mergeCell ref="A14:A20"/>
    <mergeCell ref="A21:A27"/>
    <mergeCell ref="G11:H11"/>
    <mergeCell ref="A28:A34"/>
    <mergeCell ref="A35:A41"/>
    <mergeCell ref="B14:B19"/>
    <mergeCell ref="C8:C10"/>
    <mergeCell ref="B21:B26"/>
    <mergeCell ref="B28:B33"/>
    <mergeCell ref="B35:B40"/>
    <mergeCell ref="B8:B10"/>
  </mergeCells>
  <printOptions/>
  <pageMargins left="0.7086614173228347" right="0.7086614173228347" top="0.37" bottom="0.7480314960629921" header="0.31496062992125984" footer="0.31496062992125984"/>
  <pageSetup fitToHeight="7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1"/>
  <sheetViews>
    <sheetView tabSelected="1" zoomScaleSheetLayoutView="100" zoomScalePageLayoutView="0" workbookViewId="0" topLeftCell="A466">
      <selection activeCell="D492" sqref="D492"/>
    </sheetView>
  </sheetViews>
  <sheetFormatPr defaultColWidth="9.140625" defaultRowHeight="15"/>
  <cols>
    <col min="1" max="1" width="12.421875" style="0" bestFit="1" customWidth="1"/>
    <col min="2" max="2" width="35.7109375" style="0" customWidth="1"/>
    <col min="3" max="3" width="11.421875" style="0" bestFit="1" customWidth="1"/>
    <col min="4" max="4" width="22.140625" style="7" customWidth="1"/>
    <col min="5" max="5" width="11.7109375" style="0" bestFit="1" customWidth="1"/>
    <col min="6" max="6" width="18.28125" style="0" customWidth="1"/>
    <col min="7" max="7" width="11.57421875" style="0" customWidth="1"/>
    <col min="8" max="8" width="17.421875" style="19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ht="14.25">
      <c r="K1" s="245"/>
    </row>
    <row r="2" spans="1:23" ht="14.25">
      <c r="A2" s="148"/>
      <c r="B2" s="148"/>
      <c r="C2" s="149"/>
      <c r="D2" s="149"/>
      <c r="E2" s="149"/>
      <c r="F2" s="149"/>
      <c r="G2" s="149"/>
      <c r="H2" s="149"/>
      <c r="I2" s="149"/>
      <c r="J2" s="149"/>
      <c r="K2" s="363" t="s">
        <v>309</v>
      </c>
      <c r="L2" s="363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363" t="s">
        <v>312</v>
      </c>
      <c r="L3" s="363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363" t="s">
        <v>311</v>
      </c>
      <c r="L4" s="363"/>
      <c r="M4" s="12"/>
      <c r="N4" s="9"/>
      <c r="O4" s="9"/>
      <c r="P4" s="9"/>
      <c r="Q4" s="9"/>
      <c r="R4" s="9"/>
      <c r="S4" s="9"/>
      <c r="T4" s="9"/>
      <c r="U4" s="9"/>
      <c r="V4" s="9"/>
      <c r="W4" s="9"/>
    </row>
    <row r="5" spans="1:12" ht="14.25">
      <c r="A5" s="151"/>
      <c r="B5" s="151"/>
      <c r="C5" s="151"/>
      <c r="D5" s="152"/>
      <c r="E5" s="151"/>
      <c r="F5" s="151"/>
      <c r="G5" s="151"/>
      <c r="H5" s="153"/>
      <c r="I5" s="151"/>
      <c r="J5" s="151"/>
      <c r="K5" s="149"/>
      <c r="L5" s="149"/>
    </row>
    <row r="6" spans="1:12" ht="14.25">
      <c r="A6" s="151"/>
      <c r="B6" s="151"/>
      <c r="C6" s="151"/>
      <c r="D6" s="152"/>
      <c r="E6" s="151"/>
      <c r="F6" s="151"/>
      <c r="G6" s="151"/>
      <c r="H6" s="153"/>
      <c r="I6" s="151"/>
      <c r="J6" s="151"/>
      <c r="K6" s="149"/>
      <c r="L6" s="149"/>
    </row>
    <row r="7" spans="1:12" ht="15" customHeight="1">
      <c r="A7" s="336" t="s">
        <v>169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8" spans="1:12" ht="14.25">
      <c r="A8" s="337" t="s">
        <v>18</v>
      </c>
      <c r="B8" s="337" t="s">
        <v>19</v>
      </c>
      <c r="C8" s="337" t="s">
        <v>2</v>
      </c>
      <c r="D8" s="338" t="s">
        <v>20</v>
      </c>
      <c r="E8" s="337" t="s">
        <v>21</v>
      </c>
      <c r="F8" s="337"/>
      <c r="G8" s="337"/>
      <c r="H8" s="341"/>
      <c r="I8" s="341"/>
      <c r="J8" s="339" t="s">
        <v>23</v>
      </c>
      <c r="K8" s="339" t="s">
        <v>82</v>
      </c>
      <c r="L8" s="339" t="s">
        <v>80</v>
      </c>
    </row>
    <row r="9" spans="1:12" ht="14.25" customHeight="1">
      <c r="A9" s="337"/>
      <c r="B9" s="337"/>
      <c r="C9" s="337"/>
      <c r="D9" s="338"/>
      <c r="E9" s="140"/>
      <c r="F9" s="337" t="s">
        <v>6</v>
      </c>
      <c r="G9" s="337"/>
      <c r="H9" s="337"/>
      <c r="I9" s="337"/>
      <c r="J9" s="339"/>
      <c r="K9" s="339"/>
      <c r="L9" s="339"/>
    </row>
    <row r="10" spans="1:12" ht="34.5" customHeight="1">
      <c r="A10" s="337"/>
      <c r="B10" s="337"/>
      <c r="C10" s="337"/>
      <c r="D10" s="338"/>
      <c r="E10" s="337" t="s">
        <v>22</v>
      </c>
      <c r="F10" s="337" t="s">
        <v>24</v>
      </c>
      <c r="G10" s="337"/>
      <c r="H10" s="337"/>
      <c r="I10" s="337" t="s">
        <v>25</v>
      </c>
      <c r="J10" s="340"/>
      <c r="K10" s="339"/>
      <c r="L10" s="339"/>
    </row>
    <row r="11" spans="1:12" ht="34.5" customHeight="1">
      <c r="A11" s="337"/>
      <c r="B11" s="337"/>
      <c r="C11" s="337"/>
      <c r="D11" s="338"/>
      <c r="E11" s="337"/>
      <c r="F11" s="337" t="s">
        <v>203</v>
      </c>
      <c r="G11" s="337" t="s">
        <v>204</v>
      </c>
      <c r="H11" s="337"/>
      <c r="I11" s="337"/>
      <c r="J11" s="340"/>
      <c r="K11" s="339"/>
      <c r="L11" s="339"/>
    </row>
    <row r="12" spans="1:12" ht="78" customHeight="1">
      <c r="A12" s="337"/>
      <c r="B12" s="337"/>
      <c r="C12" s="337"/>
      <c r="D12" s="338"/>
      <c r="E12" s="337"/>
      <c r="F12" s="337"/>
      <c r="G12" s="140" t="s">
        <v>205</v>
      </c>
      <c r="H12" s="154" t="s">
        <v>206</v>
      </c>
      <c r="I12" s="337"/>
      <c r="J12" s="340"/>
      <c r="K12" s="339"/>
      <c r="L12" s="339"/>
    </row>
    <row r="13" spans="1:12" ht="14.25">
      <c r="A13" s="140">
        <v>1</v>
      </c>
      <c r="B13" s="140">
        <v>2</v>
      </c>
      <c r="C13" s="140">
        <v>3</v>
      </c>
      <c r="D13" s="155">
        <v>4</v>
      </c>
      <c r="E13" s="140">
        <v>5</v>
      </c>
      <c r="F13" s="140">
        <v>6</v>
      </c>
      <c r="G13" s="140">
        <v>7</v>
      </c>
      <c r="H13" s="115">
        <v>8</v>
      </c>
      <c r="I13" s="140">
        <v>9</v>
      </c>
      <c r="J13" s="140">
        <v>10</v>
      </c>
      <c r="K13" s="140">
        <v>11</v>
      </c>
      <c r="L13" s="140">
        <v>12</v>
      </c>
    </row>
    <row r="14" spans="1:12" ht="14.25">
      <c r="A14" s="349" t="s">
        <v>95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</row>
    <row r="15" spans="1:12" ht="14.25">
      <c r="A15" s="48" t="s">
        <v>150</v>
      </c>
      <c r="B15" s="345" t="s">
        <v>144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4.25">
      <c r="A16" s="48" t="s">
        <v>149</v>
      </c>
      <c r="B16" s="345" t="s">
        <v>145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</row>
    <row r="17" spans="1:12" ht="14.25" customHeight="1">
      <c r="A17" s="307" t="s">
        <v>12</v>
      </c>
      <c r="B17" s="307" t="s">
        <v>26</v>
      </c>
      <c r="C17" s="135">
        <v>2017</v>
      </c>
      <c r="D17" s="83">
        <f>I17</f>
        <v>50</v>
      </c>
      <c r="E17" s="83">
        <v>0</v>
      </c>
      <c r="F17" s="83"/>
      <c r="G17" s="83"/>
      <c r="H17" s="83">
        <v>0</v>
      </c>
      <c r="I17" s="83">
        <v>50</v>
      </c>
      <c r="J17" s="84"/>
      <c r="K17" s="307" t="s">
        <v>27</v>
      </c>
      <c r="L17" s="307" t="s">
        <v>28</v>
      </c>
    </row>
    <row r="18" spans="1:12" ht="22.5" customHeight="1">
      <c r="A18" s="308"/>
      <c r="B18" s="308"/>
      <c r="C18" s="131">
        <v>2018</v>
      </c>
      <c r="D18" s="126">
        <f>H18+I18</f>
        <v>50</v>
      </c>
      <c r="E18" s="126">
        <v>0</v>
      </c>
      <c r="F18" s="126"/>
      <c r="G18" s="126"/>
      <c r="H18" s="126">
        <v>0</v>
      </c>
      <c r="I18" s="126">
        <v>50</v>
      </c>
      <c r="J18" s="84"/>
      <c r="K18" s="308"/>
      <c r="L18" s="308"/>
    </row>
    <row r="19" spans="1:12" ht="14.25">
      <c r="A19" s="308"/>
      <c r="B19" s="308"/>
      <c r="C19" s="177">
        <v>2019</v>
      </c>
      <c r="D19" s="178">
        <f>H19+I19</f>
        <v>52.52636</v>
      </c>
      <c r="E19" s="178">
        <v>0</v>
      </c>
      <c r="F19" s="178"/>
      <c r="G19" s="178"/>
      <c r="H19" s="178">
        <v>0</v>
      </c>
      <c r="I19" s="178">
        <f>50+2.52636</f>
        <v>52.52636</v>
      </c>
      <c r="J19" s="156"/>
      <c r="K19" s="308"/>
      <c r="L19" s="308"/>
    </row>
    <row r="20" spans="1:12" ht="14.25">
      <c r="A20" s="308"/>
      <c r="B20" s="308"/>
      <c r="C20" s="131">
        <v>2020</v>
      </c>
      <c r="D20" s="126">
        <f>H20+I20</f>
        <v>50</v>
      </c>
      <c r="E20" s="126">
        <v>0</v>
      </c>
      <c r="F20" s="126"/>
      <c r="G20" s="126"/>
      <c r="H20" s="126">
        <v>0</v>
      </c>
      <c r="I20" s="126">
        <v>50</v>
      </c>
      <c r="J20" s="84"/>
      <c r="K20" s="308"/>
      <c r="L20" s="308"/>
    </row>
    <row r="21" spans="1:12" ht="14.25">
      <c r="A21" s="308"/>
      <c r="B21" s="308"/>
      <c r="C21" s="131">
        <v>2021</v>
      </c>
      <c r="D21" s="126">
        <f>E21+F21+I21+J21</f>
        <v>50</v>
      </c>
      <c r="E21" s="126"/>
      <c r="F21" s="126"/>
      <c r="G21" s="126"/>
      <c r="H21" s="126">
        <v>0</v>
      </c>
      <c r="I21" s="126">
        <v>50</v>
      </c>
      <c r="J21" s="84"/>
      <c r="K21" s="308"/>
      <c r="L21" s="308"/>
    </row>
    <row r="22" spans="1:12" ht="14.25">
      <c r="A22" s="309"/>
      <c r="B22" s="309"/>
      <c r="C22" s="221">
        <v>2022</v>
      </c>
      <c r="D22" s="222">
        <f>I22</f>
        <v>50</v>
      </c>
      <c r="E22" s="222"/>
      <c r="F22" s="222"/>
      <c r="G22" s="222"/>
      <c r="H22" s="222"/>
      <c r="I22" s="222">
        <v>50</v>
      </c>
      <c r="J22" s="84"/>
      <c r="K22" s="309"/>
      <c r="L22" s="308"/>
    </row>
    <row r="23" spans="1:12" ht="18.75" customHeight="1">
      <c r="A23" s="307" t="s">
        <v>14</v>
      </c>
      <c r="B23" s="195"/>
      <c r="C23" s="131">
        <v>2017</v>
      </c>
      <c r="D23" s="126">
        <f>I23</f>
        <v>44.99</v>
      </c>
      <c r="E23" s="126">
        <v>0</v>
      </c>
      <c r="F23" s="126"/>
      <c r="G23" s="126"/>
      <c r="H23" s="126">
        <v>0</v>
      </c>
      <c r="I23" s="126">
        <v>44.99</v>
      </c>
      <c r="J23" s="84"/>
      <c r="K23" s="307" t="s">
        <v>165</v>
      </c>
      <c r="L23" s="308"/>
    </row>
    <row r="24" spans="1:12" ht="36" customHeight="1">
      <c r="A24" s="308"/>
      <c r="B24" s="206" t="s">
        <v>29</v>
      </c>
      <c r="C24" s="112">
        <v>2018</v>
      </c>
      <c r="D24" s="126">
        <f>SUM(E24:I24)</f>
        <v>20</v>
      </c>
      <c r="E24" s="126">
        <v>0</v>
      </c>
      <c r="F24" s="126"/>
      <c r="G24" s="126"/>
      <c r="H24" s="126">
        <v>0</v>
      </c>
      <c r="I24" s="126">
        <v>20</v>
      </c>
      <c r="J24" s="133"/>
      <c r="K24" s="308"/>
      <c r="L24" s="308"/>
    </row>
    <row r="25" spans="1:12" ht="44.25" customHeight="1">
      <c r="A25" s="308"/>
      <c r="B25" s="206" t="s">
        <v>273</v>
      </c>
      <c r="C25" s="179">
        <v>2019</v>
      </c>
      <c r="D25" s="180">
        <f>SUM(E25:I25)</f>
        <v>20</v>
      </c>
      <c r="E25" s="180">
        <v>0</v>
      </c>
      <c r="F25" s="180"/>
      <c r="G25" s="180"/>
      <c r="H25" s="180">
        <v>0</v>
      </c>
      <c r="I25" s="180">
        <v>20</v>
      </c>
      <c r="J25" s="157"/>
      <c r="K25" s="308"/>
      <c r="L25" s="308"/>
    </row>
    <row r="26" spans="1:12" ht="21" customHeight="1">
      <c r="A26" s="308"/>
      <c r="B26" s="353" t="s">
        <v>30</v>
      </c>
      <c r="C26" s="342">
        <v>2020</v>
      </c>
      <c r="D26" s="333">
        <f>SUM(E26:I27)</f>
        <v>20</v>
      </c>
      <c r="E26" s="333">
        <v>0</v>
      </c>
      <c r="F26" s="333"/>
      <c r="G26" s="333"/>
      <c r="H26" s="333">
        <v>0</v>
      </c>
      <c r="I26" s="333">
        <v>20</v>
      </c>
      <c r="J26" s="347"/>
      <c r="K26" s="308"/>
      <c r="L26" s="308"/>
    </row>
    <row r="27" spans="1:12" ht="12.75" customHeight="1">
      <c r="A27" s="308"/>
      <c r="B27" s="354"/>
      <c r="C27" s="342"/>
      <c r="D27" s="333"/>
      <c r="E27" s="333"/>
      <c r="F27" s="333"/>
      <c r="G27" s="333"/>
      <c r="H27" s="333"/>
      <c r="I27" s="333"/>
      <c r="J27" s="347"/>
      <c r="K27" s="308"/>
      <c r="L27" s="308"/>
    </row>
    <row r="28" spans="1:12" ht="21" customHeight="1">
      <c r="A28" s="308"/>
      <c r="B28" s="354"/>
      <c r="C28" s="131">
        <v>2021</v>
      </c>
      <c r="D28" s="126">
        <f>E28+F28+I28+J28</f>
        <v>20</v>
      </c>
      <c r="E28" s="126"/>
      <c r="F28" s="126"/>
      <c r="G28" s="126"/>
      <c r="H28" s="126">
        <v>0</v>
      </c>
      <c r="I28" s="126">
        <v>20</v>
      </c>
      <c r="J28" s="133"/>
      <c r="K28" s="308"/>
      <c r="L28" s="308"/>
    </row>
    <row r="29" spans="1:12" ht="21" customHeight="1">
      <c r="A29" s="309"/>
      <c r="B29" s="355"/>
      <c r="C29" s="221">
        <v>2022</v>
      </c>
      <c r="D29" s="222">
        <f>I29</f>
        <v>20</v>
      </c>
      <c r="E29" s="222"/>
      <c r="F29" s="222"/>
      <c r="G29" s="222"/>
      <c r="H29" s="222"/>
      <c r="I29" s="222">
        <v>20</v>
      </c>
      <c r="J29" s="206"/>
      <c r="K29" s="309"/>
      <c r="L29" s="309"/>
    </row>
    <row r="30" spans="1:12" ht="27" customHeight="1">
      <c r="A30" s="307" t="s">
        <v>16</v>
      </c>
      <c r="B30" s="307" t="s">
        <v>31</v>
      </c>
      <c r="C30" s="131">
        <v>2017</v>
      </c>
      <c r="D30" s="126">
        <f>I30</f>
        <v>7</v>
      </c>
      <c r="E30" s="126">
        <v>0</v>
      </c>
      <c r="F30" s="126"/>
      <c r="G30" s="126"/>
      <c r="H30" s="126">
        <v>0</v>
      </c>
      <c r="I30" s="126">
        <v>7</v>
      </c>
      <c r="J30" s="133"/>
      <c r="K30" s="307" t="s">
        <v>32</v>
      </c>
      <c r="L30" s="307" t="s">
        <v>33</v>
      </c>
    </row>
    <row r="31" spans="1:12" ht="22.5" customHeight="1">
      <c r="A31" s="308"/>
      <c r="B31" s="308"/>
      <c r="C31" s="131">
        <v>2018</v>
      </c>
      <c r="D31" s="126">
        <f>E31+H31+I31</f>
        <v>0</v>
      </c>
      <c r="E31" s="126">
        <v>0</v>
      </c>
      <c r="F31" s="126"/>
      <c r="G31" s="126"/>
      <c r="H31" s="126">
        <v>0</v>
      </c>
      <c r="I31" s="126">
        <v>0</v>
      </c>
      <c r="J31" s="86"/>
      <c r="K31" s="308"/>
      <c r="L31" s="308"/>
    </row>
    <row r="32" spans="1:12" ht="14.25">
      <c r="A32" s="308"/>
      <c r="B32" s="308"/>
      <c r="C32" s="131">
        <v>2019</v>
      </c>
      <c r="D32" s="126">
        <f>SUM(E32:I32)</f>
        <v>0</v>
      </c>
      <c r="E32" s="126">
        <v>0</v>
      </c>
      <c r="F32" s="126"/>
      <c r="G32" s="126"/>
      <c r="H32" s="126">
        <v>0</v>
      </c>
      <c r="I32" s="126">
        <v>0</v>
      </c>
      <c r="J32" s="86"/>
      <c r="K32" s="308"/>
      <c r="L32" s="308"/>
    </row>
    <row r="33" spans="1:12" ht="27" customHeight="1">
      <c r="A33" s="308"/>
      <c r="B33" s="308"/>
      <c r="C33" s="131">
        <v>2020</v>
      </c>
      <c r="D33" s="126">
        <f>I33</f>
        <v>3</v>
      </c>
      <c r="E33" s="126">
        <v>0</v>
      </c>
      <c r="F33" s="126"/>
      <c r="G33" s="126"/>
      <c r="H33" s="126">
        <v>0</v>
      </c>
      <c r="I33" s="126">
        <v>3</v>
      </c>
      <c r="J33" s="86"/>
      <c r="K33" s="308"/>
      <c r="L33" s="308"/>
    </row>
    <row r="34" spans="1:12" ht="27" customHeight="1">
      <c r="A34" s="308"/>
      <c r="B34" s="308"/>
      <c r="C34" s="131">
        <v>2021</v>
      </c>
      <c r="D34" s="126">
        <f>E34+F34+I34+J34</f>
        <v>3</v>
      </c>
      <c r="E34" s="126">
        <v>0</v>
      </c>
      <c r="F34" s="126"/>
      <c r="G34" s="126"/>
      <c r="H34" s="126">
        <v>0</v>
      </c>
      <c r="I34" s="126">
        <v>3</v>
      </c>
      <c r="J34" s="86"/>
      <c r="K34" s="308"/>
      <c r="L34" s="308"/>
    </row>
    <row r="35" spans="1:12" ht="27" customHeight="1">
      <c r="A35" s="309"/>
      <c r="B35" s="309"/>
      <c r="C35" s="221">
        <v>2022</v>
      </c>
      <c r="D35" s="222">
        <f>I35</f>
        <v>3</v>
      </c>
      <c r="E35" s="222"/>
      <c r="F35" s="222"/>
      <c r="G35" s="222"/>
      <c r="H35" s="222"/>
      <c r="I35" s="222">
        <v>3</v>
      </c>
      <c r="J35" s="86"/>
      <c r="K35" s="309"/>
      <c r="L35" s="309"/>
    </row>
    <row r="36" spans="1:12" ht="27" customHeight="1">
      <c r="A36" s="307" t="s">
        <v>101</v>
      </c>
      <c r="B36" s="307" t="s">
        <v>62</v>
      </c>
      <c r="C36" s="131">
        <v>2017</v>
      </c>
      <c r="D36" s="126">
        <f>I36</f>
        <v>8</v>
      </c>
      <c r="E36" s="126">
        <v>0</v>
      </c>
      <c r="F36" s="126"/>
      <c r="G36" s="126"/>
      <c r="H36" s="126">
        <v>0</v>
      </c>
      <c r="I36" s="126">
        <v>8</v>
      </c>
      <c r="J36" s="86"/>
      <c r="K36" s="307" t="s">
        <v>34</v>
      </c>
      <c r="L36" s="307" t="s">
        <v>35</v>
      </c>
    </row>
    <row r="37" spans="1:12" ht="21" customHeight="1">
      <c r="A37" s="308"/>
      <c r="B37" s="308"/>
      <c r="C37" s="131">
        <v>2018</v>
      </c>
      <c r="D37" s="126">
        <f>E37+H37+I37</f>
        <v>0</v>
      </c>
      <c r="E37" s="126">
        <v>0</v>
      </c>
      <c r="F37" s="126"/>
      <c r="G37" s="126"/>
      <c r="H37" s="126">
        <v>0</v>
      </c>
      <c r="I37" s="126">
        <v>0</v>
      </c>
      <c r="J37" s="133"/>
      <c r="K37" s="308"/>
      <c r="L37" s="308"/>
    </row>
    <row r="38" spans="1:12" ht="14.25">
      <c r="A38" s="308"/>
      <c r="B38" s="308"/>
      <c r="C38" s="131">
        <v>2019</v>
      </c>
      <c r="D38" s="126">
        <f>SUM(E38:I38)</f>
        <v>0</v>
      </c>
      <c r="E38" s="126">
        <v>0</v>
      </c>
      <c r="F38" s="126"/>
      <c r="G38" s="126"/>
      <c r="H38" s="126">
        <v>0</v>
      </c>
      <c r="I38" s="126">
        <v>0</v>
      </c>
      <c r="J38" s="133"/>
      <c r="K38" s="308"/>
      <c r="L38" s="308"/>
    </row>
    <row r="39" spans="1:12" ht="14.25">
      <c r="A39" s="308"/>
      <c r="B39" s="308"/>
      <c r="C39" s="131">
        <v>2020</v>
      </c>
      <c r="D39" s="126">
        <f>I39</f>
        <v>5</v>
      </c>
      <c r="E39" s="126">
        <v>0</v>
      </c>
      <c r="F39" s="126"/>
      <c r="G39" s="126"/>
      <c r="H39" s="126">
        <v>0</v>
      </c>
      <c r="I39" s="126">
        <v>5</v>
      </c>
      <c r="J39" s="133"/>
      <c r="K39" s="308"/>
      <c r="L39" s="308"/>
    </row>
    <row r="40" spans="1:12" ht="14.25">
      <c r="A40" s="308"/>
      <c r="B40" s="308"/>
      <c r="C40" s="131">
        <v>2021</v>
      </c>
      <c r="D40" s="126">
        <f>E40+F40+I40+J40</f>
        <v>5</v>
      </c>
      <c r="E40" s="126">
        <v>0</v>
      </c>
      <c r="F40" s="126"/>
      <c r="G40" s="126"/>
      <c r="H40" s="126">
        <v>0</v>
      </c>
      <c r="I40" s="126">
        <v>5</v>
      </c>
      <c r="J40" s="133"/>
      <c r="K40" s="308"/>
      <c r="L40" s="308"/>
    </row>
    <row r="41" spans="1:12" ht="14.25">
      <c r="A41" s="309"/>
      <c r="B41" s="309"/>
      <c r="C41" s="221">
        <v>2022</v>
      </c>
      <c r="D41" s="222">
        <f>I41</f>
        <v>5</v>
      </c>
      <c r="E41" s="222"/>
      <c r="F41" s="222"/>
      <c r="G41" s="222"/>
      <c r="H41" s="222"/>
      <c r="I41" s="222">
        <v>5</v>
      </c>
      <c r="J41" s="206"/>
      <c r="K41" s="309"/>
      <c r="L41" s="309"/>
    </row>
    <row r="42" spans="1:12" ht="14.25" customHeight="1">
      <c r="A42" s="307" t="s">
        <v>102</v>
      </c>
      <c r="B42" s="307" t="s">
        <v>36</v>
      </c>
      <c r="C42" s="346">
        <v>2017</v>
      </c>
      <c r="D42" s="126">
        <f>I42</f>
        <v>115.476</v>
      </c>
      <c r="E42" s="126">
        <v>0</v>
      </c>
      <c r="F42" s="126"/>
      <c r="G42" s="126"/>
      <c r="H42" s="126">
        <v>0</v>
      </c>
      <c r="I42" s="126">
        <v>115.476</v>
      </c>
      <c r="J42" s="133"/>
      <c r="K42" s="126" t="s">
        <v>55</v>
      </c>
      <c r="L42" s="307" t="s">
        <v>37</v>
      </c>
    </row>
    <row r="43" spans="1:12" ht="14.25">
      <c r="A43" s="308"/>
      <c r="B43" s="308"/>
      <c r="C43" s="346"/>
      <c r="D43" s="126">
        <f>I43</f>
        <v>165.0305</v>
      </c>
      <c r="E43" s="126">
        <v>0</v>
      </c>
      <c r="F43" s="126"/>
      <c r="G43" s="126"/>
      <c r="H43" s="126">
        <v>0</v>
      </c>
      <c r="I43" s="126">
        <v>165.0305</v>
      </c>
      <c r="J43" s="133"/>
      <c r="K43" s="126" t="s">
        <v>56</v>
      </c>
      <c r="L43" s="308"/>
    </row>
    <row r="44" spans="1:12" ht="18" customHeight="1">
      <c r="A44" s="308"/>
      <c r="B44" s="308"/>
      <c r="C44" s="346"/>
      <c r="D44" s="126">
        <f aca="true" t="shared" si="0" ref="D44:D54">I44</f>
        <v>230.5</v>
      </c>
      <c r="E44" s="126">
        <v>0</v>
      </c>
      <c r="F44" s="126"/>
      <c r="G44" s="126"/>
      <c r="H44" s="126">
        <v>0</v>
      </c>
      <c r="I44" s="126">
        <v>230.5</v>
      </c>
      <c r="J44" s="133"/>
      <c r="K44" s="126" t="s">
        <v>34</v>
      </c>
      <c r="L44" s="308"/>
    </row>
    <row r="45" spans="1:12" ht="33" customHeight="1">
      <c r="A45" s="308"/>
      <c r="B45" s="308"/>
      <c r="C45" s="131">
        <v>2018</v>
      </c>
      <c r="D45" s="126">
        <f t="shared" si="0"/>
        <v>545.1769999999999</v>
      </c>
      <c r="E45" s="126">
        <v>0</v>
      </c>
      <c r="F45" s="126"/>
      <c r="G45" s="126"/>
      <c r="H45" s="126">
        <v>0</v>
      </c>
      <c r="I45" s="126">
        <f>546.776-1.599</f>
        <v>545.1769999999999</v>
      </c>
      <c r="J45" s="86"/>
      <c r="K45" s="128" t="s">
        <v>34</v>
      </c>
      <c r="L45" s="308"/>
    </row>
    <row r="46" spans="1:12" ht="21" customHeight="1">
      <c r="A46" s="308"/>
      <c r="B46" s="308"/>
      <c r="C46" s="173">
        <v>2019</v>
      </c>
      <c r="D46" s="174">
        <f t="shared" si="0"/>
        <v>124</v>
      </c>
      <c r="E46" s="174">
        <v>0</v>
      </c>
      <c r="F46" s="174"/>
      <c r="G46" s="174"/>
      <c r="H46" s="174">
        <v>0</v>
      </c>
      <c r="I46" s="174">
        <f>334-45-2.8-106.2-56</f>
        <v>124</v>
      </c>
      <c r="J46" s="158"/>
      <c r="K46" s="128" t="s">
        <v>32</v>
      </c>
      <c r="L46" s="308"/>
    </row>
    <row r="47" spans="1:12" ht="21" customHeight="1">
      <c r="A47" s="308"/>
      <c r="B47" s="308"/>
      <c r="C47" s="173">
        <v>2019</v>
      </c>
      <c r="D47" s="174">
        <f t="shared" si="0"/>
        <v>185.32</v>
      </c>
      <c r="E47" s="174">
        <v>0</v>
      </c>
      <c r="F47" s="174"/>
      <c r="G47" s="174"/>
      <c r="H47" s="174">
        <v>0</v>
      </c>
      <c r="I47" s="174">
        <v>185.32</v>
      </c>
      <c r="J47" s="158"/>
      <c r="K47" s="168" t="s">
        <v>258</v>
      </c>
      <c r="L47" s="308"/>
    </row>
    <row r="48" spans="1:12" ht="32.25" customHeight="1">
      <c r="A48" s="308"/>
      <c r="B48" s="308"/>
      <c r="C48" s="131">
        <v>2020</v>
      </c>
      <c r="D48" s="126">
        <f t="shared" si="0"/>
        <v>476.5</v>
      </c>
      <c r="E48" s="126">
        <v>0</v>
      </c>
      <c r="F48" s="126"/>
      <c r="G48" s="126"/>
      <c r="H48" s="126">
        <v>0</v>
      </c>
      <c r="I48" s="126">
        <v>476.5</v>
      </c>
      <c r="J48" s="86"/>
      <c r="K48" s="128" t="s">
        <v>32</v>
      </c>
      <c r="L48" s="308"/>
    </row>
    <row r="49" spans="1:12" ht="32.25" customHeight="1">
      <c r="A49" s="308"/>
      <c r="B49" s="308"/>
      <c r="C49" s="131">
        <v>2021</v>
      </c>
      <c r="D49" s="126">
        <f>E49+F49+I49+J49</f>
        <v>476.5</v>
      </c>
      <c r="E49" s="126">
        <v>0</v>
      </c>
      <c r="F49" s="126"/>
      <c r="G49" s="126"/>
      <c r="H49" s="126">
        <v>0</v>
      </c>
      <c r="I49" s="126">
        <v>476.5</v>
      </c>
      <c r="J49" s="86"/>
      <c r="K49" s="307" t="s">
        <v>32</v>
      </c>
      <c r="L49" s="308"/>
    </row>
    <row r="50" spans="1:12" ht="32.25" customHeight="1">
      <c r="A50" s="309"/>
      <c r="B50" s="309"/>
      <c r="C50" s="221">
        <v>2022</v>
      </c>
      <c r="D50" s="222">
        <f>I50</f>
        <v>476.5</v>
      </c>
      <c r="E50" s="222"/>
      <c r="F50" s="222"/>
      <c r="G50" s="222"/>
      <c r="H50" s="222"/>
      <c r="I50" s="222">
        <v>476.5</v>
      </c>
      <c r="J50" s="86"/>
      <c r="K50" s="309"/>
      <c r="L50" s="309"/>
    </row>
    <row r="51" spans="1:12" ht="18.75" customHeight="1">
      <c r="A51" s="307" t="s">
        <v>103</v>
      </c>
      <c r="B51" s="307" t="s">
        <v>66</v>
      </c>
      <c r="C51" s="342">
        <v>2017</v>
      </c>
      <c r="D51" s="126">
        <f>I51</f>
        <v>56.559</v>
      </c>
      <c r="E51" s="126">
        <v>0</v>
      </c>
      <c r="F51" s="126"/>
      <c r="G51" s="126"/>
      <c r="H51" s="126">
        <v>0</v>
      </c>
      <c r="I51" s="126">
        <v>56.559</v>
      </c>
      <c r="J51" s="86"/>
      <c r="K51" s="128" t="s">
        <v>173</v>
      </c>
      <c r="L51" s="307" t="s">
        <v>38</v>
      </c>
    </row>
    <row r="52" spans="1:12" ht="25.5" customHeight="1">
      <c r="A52" s="308"/>
      <c r="B52" s="308"/>
      <c r="C52" s="342"/>
      <c r="D52" s="126">
        <f>I52</f>
        <v>35</v>
      </c>
      <c r="E52" s="126">
        <v>0</v>
      </c>
      <c r="F52" s="126"/>
      <c r="G52" s="126"/>
      <c r="H52" s="126">
        <v>0</v>
      </c>
      <c r="I52" s="126">
        <v>35</v>
      </c>
      <c r="J52" s="86"/>
      <c r="K52" s="128" t="s">
        <v>55</v>
      </c>
      <c r="L52" s="308"/>
    </row>
    <row r="53" spans="1:12" ht="29.25" customHeight="1">
      <c r="A53" s="308"/>
      <c r="B53" s="308"/>
      <c r="C53" s="342"/>
      <c r="D53" s="126">
        <f t="shared" si="0"/>
        <v>250</v>
      </c>
      <c r="E53" s="126">
        <v>0</v>
      </c>
      <c r="F53" s="126"/>
      <c r="G53" s="126"/>
      <c r="H53" s="126">
        <v>0</v>
      </c>
      <c r="I53" s="126">
        <v>250</v>
      </c>
      <c r="J53" s="86"/>
      <c r="K53" s="128" t="s">
        <v>172</v>
      </c>
      <c r="L53" s="308"/>
    </row>
    <row r="54" spans="1:12" ht="14.25">
      <c r="A54" s="308"/>
      <c r="B54" s="308"/>
      <c r="C54" s="342"/>
      <c r="D54" s="126">
        <f t="shared" si="0"/>
        <v>42</v>
      </c>
      <c r="E54" s="126">
        <v>0</v>
      </c>
      <c r="F54" s="126"/>
      <c r="G54" s="126"/>
      <c r="H54" s="126">
        <v>0</v>
      </c>
      <c r="I54" s="126">
        <v>42</v>
      </c>
      <c r="J54" s="86"/>
      <c r="K54" s="128" t="s">
        <v>167</v>
      </c>
      <c r="L54" s="308"/>
    </row>
    <row r="55" spans="1:13" ht="35.25" customHeight="1">
      <c r="A55" s="308"/>
      <c r="B55" s="308"/>
      <c r="C55" s="342">
        <v>2018</v>
      </c>
      <c r="D55" s="126">
        <f>E55+H55+I55</f>
        <v>277.231</v>
      </c>
      <c r="E55" s="126">
        <v>0</v>
      </c>
      <c r="F55" s="126"/>
      <c r="G55" s="126"/>
      <c r="H55" s="126">
        <v>0</v>
      </c>
      <c r="I55" s="126">
        <v>277.231</v>
      </c>
      <c r="J55" s="86"/>
      <c r="K55" s="128" t="s">
        <v>65</v>
      </c>
      <c r="L55" s="308"/>
      <c r="M55" t="s">
        <v>39</v>
      </c>
    </row>
    <row r="56" spans="1:12" ht="25.5" customHeight="1">
      <c r="A56" s="308"/>
      <c r="B56" s="308"/>
      <c r="C56" s="342"/>
      <c r="D56" s="126">
        <f>I56</f>
        <v>45.969</v>
      </c>
      <c r="E56" s="126">
        <v>0</v>
      </c>
      <c r="F56" s="126"/>
      <c r="G56" s="126"/>
      <c r="H56" s="126">
        <v>0</v>
      </c>
      <c r="I56" s="126">
        <v>45.969</v>
      </c>
      <c r="J56" s="86"/>
      <c r="K56" s="128" t="s">
        <v>173</v>
      </c>
      <c r="L56" s="308"/>
    </row>
    <row r="57" spans="1:12" ht="20.25" customHeight="1">
      <c r="A57" s="308"/>
      <c r="B57" s="308"/>
      <c r="C57" s="343"/>
      <c r="D57" s="126">
        <f>E57+H57+I57</f>
        <v>44.37</v>
      </c>
      <c r="E57" s="126">
        <v>0</v>
      </c>
      <c r="F57" s="126"/>
      <c r="G57" s="126"/>
      <c r="H57" s="126">
        <v>0</v>
      </c>
      <c r="I57" s="126">
        <v>44.37</v>
      </c>
      <c r="J57" s="86"/>
      <c r="K57" s="128" t="s">
        <v>167</v>
      </c>
      <c r="L57" s="308"/>
    </row>
    <row r="58" spans="1:12" ht="24.75" customHeight="1">
      <c r="A58" s="308"/>
      <c r="B58" s="308"/>
      <c r="C58" s="342">
        <v>2019</v>
      </c>
      <c r="D58" s="174">
        <f>SUM(E58:I58)</f>
        <v>283.701</v>
      </c>
      <c r="E58" s="174">
        <v>0</v>
      </c>
      <c r="F58" s="174"/>
      <c r="G58" s="174"/>
      <c r="H58" s="174">
        <v>0</v>
      </c>
      <c r="I58" s="174">
        <v>283.701</v>
      </c>
      <c r="J58" s="86"/>
      <c r="K58" s="128" t="s">
        <v>32</v>
      </c>
      <c r="L58" s="308"/>
    </row>
    <row r="59" spans="1:12" ht="19.5" customHeight="1">
      <c r="A59" s="308"/>
      <c r="B59" s="308"/>
      <c r="C59" s="343"/>
      <c r="D59" s="174">
        <f>E59+H59+I59</f>
        <v>49.188</v>
      </c>
      <c r="E59" s="174">
        <v>0</v>
      </c>
      <c r="F59" s="174"/>
      <c r="G59" s="174"/>
      <c r="H59" s="174">
        <v>0</v>
      </c>
      <c r="I59" s="174">
        <v>49.188</v>
      </c>
      <c r="J59" s="86"/>
      <c r="K59" s="128" t="s">
        <v>173</v>
      </c>
      <c r="L59" s="308"/>
    </row>
    <row r="60" spans="1:12" ht="26.25">
      <c r="A60" s="308"/>
      <c r="B60" s="308"/>
      <c r="C60" s="342">
        <v>2020</v>
      </c>
      <c r="D60" s="126">
        <f>I60</f>
        <v>200.5</v>
      </c>
      <c r="E60" s="126">
        <v>0</v>
      </c>
      <c r="F60" s="126"/>
      <c r="G60" s="126"/>
      <c r="H60" s="126">
        <v>0</v>
      </c>
      <c r="I60" s="126">
        <v>200.5</v>
      </c>
      <c r="J60" s="86" t="s">
        <v>39</v>
      </c>
      <c r="K60" s="128" t="s">
        <v>32</v>
      </c>
      <c r="L60" s="308"/>
    </row>
    <row r="61" spans="1:12" ht="14.25">
      <c r="A61" s="308"/>
      <c r="B61" s="308"/>
      <c r="C61" s="342"/>
      <c r="D61" s="126">
        <f>E61+H61+I61</f>
        <v>42</v>
      </c>
      <c r="E61" s="126">
        <v>0</v>
      </c>
      <c r="F61" s="126"/>
      <c r="G61" s="126"/>
      <c r="H61" s="126">
        <v>0</v>
      </c>
      <c r="I61" s="126">
        <v>42</v>
      </c>
      <c r="J61" s="86"/>
      <c r="K61" s="128" t="s">
        <v>167</v>
      </c>
      <c r="L61" s="308"/>
    </row>
    <row r="62" spans="1:12" ht="14.25">
      <c r="A62" s="308"/>
      <c r="B62" s="308"/>
      <c r="C62" s="334">
        <v>2021</v>
      </c>
      <c r="D62" s="126">
        <f>I62</f>
        <v>42</v>
      </c>
      <c r="E62" s="126">
        <v>0</v>
      </c>
      <c r="F62" s="126"/>
      <c r="G62" s="126"/>
      <c r="H62" s="126">
        <v>0</v>
      </c>
      <c r="I62" s="126">
        <v>42</v>
      </c>
      <c r="J62" s="86"/>
      <c r="K62" s="128" t="s">
        <v>167</v>
      </c>
      <c r="L62" s="308"/>
    </row>
    <row r="63" spans="1:12" ht="25.5" customHeight="1">
      <c r="A63" s="308"/>
      <c r="B63" s="308"/>
      <c r="C63" s="335"/>
      <c r="D63" s="126">
        <f>E63+F63+I63+J63</f>
        <v>200.5</v>
      </c>
      <c r="E63" s="126">
        <v>0</v>
      </c>
      <c r="F63" s="126"/>
      <c r="G63" s="126"/>
      <c r="H63" s="126">
        <v>0</v>
      </c>
      <c r="I63" s="126">
        <v>200.5</v>
      </c>
      <c r="J63" s="86"/>
      <c r="K63" s="307" t="s">
        <v>32</v>
      </c>
      <c r="L63" s="308"/>
    </row>
    <row r="64" spans="1:12" ht="14.25">
      <c r="A64" s="309"/>
      <c r="B64" s="309"/>
      <c r="C64" s="223">
        <v>2022</v>
      </c>
      <c r="D64" s="222">
        <f>I64</f>
        <v>242.5</v>
      </c>
      <c r="E64" s="222"/>
      <c r="F64" s="222"/>
      <c r="G64" s="222"/>
      <c r="H64" s="222"/>
      <c r="I64" s="222">
        <f>200.5+42</f>
        <v>242.5</v>
      </c>
      <c r="J64" s="86"/>
      <c r="K64" s="309"/>
      <c r="L64" s="309"/>
    </row>
    <row r="65" spans="1:12" ht="21" customHeight="1">
      <c r="A65" s="307" t="s">
        <v>104</v>
      </c>
      <c r="B65" s="307" t="s">
        <v>40</v>
      </c>
      <c r="C65" s="131">
        <v>2017</v>
      </c>
      <c r="D65" s="126">
        <f>I65</f>
        <v>10</v>
      </c>
      <c r="E65" s="126">
        <v>0</v>
      </c>
      <c r="F65" s="126"/>
      <c r="G65" s="126"/>
      <c r="H65" s="126">
        <v>0</v>
      </c>
      <c r="I65" s="126">
        <v>10</v>
      </c>
      <c r="J65" s="86"/>
      <c r="K65" s="307" t="s">
        <v>32</v>
      </c>
      <c r="L65" s="307" t="s">
        <v>41</v>
      </c>
    </row>
    <row r="66" spans="1:12" ht="15" customHeight="1">
      <c r="A66" s="308"/>
      <c r="B66" s="308"/>
      <c r="C66" s="131">
        <v>2018</v>
      </c>
      <c r="D66" s="126">
        <f>E66+H66+I66</f>
        <v>0</v>
      </c>
      <c r="E66" s="126">
        <v>0</v>
      </c>
      <c r="F66" s="126"/>
      <c r="G66" s="126"/>
      <c r="H66" s="126">
        <v>0</v>
      </c>
      <c r="I66" s="126">
        <v>0</v>
      </c>
      <c r="J66" s="86"/>
      <c r="K66" s="308"/>
      <c r="L66" s="308"/>
    </row>
    <row r="67" spans="1:12" ht="14.25">
      <c r="A67" s="308"/>
      <c r="B67" s="308"/>
      <c r="C67" s="131">
        <v>2019</v>
      </c>
      <c r="D67" s="126">
        <f>SUM(E67:I67)</f>
        <v>0</v>
      </c>
      <c r="E67" s="126">
        <v>0</v>
      </c>
      <c r="F67" s="126"/>
      <c r="G67" s="126"/>
      <c r="H67" s="126">
        <v>0</v>
      </c>
      <c r="I67" s="126">
        <v>0</v>
      </c>
      <c r="J67" s="86"/>
      <c r="K67" s="308"/>
      <c r="L67" s="308"/>
    </row>
    <row r="68" spans="1:12" ht="29.25" customHeight="1">
      <c r="A68" s="308"/>
      <c r="B68" s="308"/>
      <c r="C68" s="131">
        <v>2020</v>
      </c>
      <c r="D68" s="126">
        <f>I68</f>
        <v>3</v>
      </c>
      <c r="E68" s="126">
        <v>0</v>
      </c>
      <c r="F68" s="126"/>
      <c r="G68" s="126"/>
      <c r="H68" s="126">
        <v>0</v>
      </c>
      <c r="I68" s="126">
        <v>3</v>
      </c>
      <c r="J68" s="86"/>
      <c r="K68" s="308"/>
      <c r="L68" s="308"/>
    </row>
    <row r="69" spans="1:12" ht="29.25" customHeight="1">
      <c r="A69" s="308"/>
      <c r="B69" s="308"/>
      <c r="C69" s="131">
        <v>2021</v>
      </c>
      <c r="D69" s="126">
        <f>E69+F69+I69+J69</f>
        <v>3</v>
      </c>
      <c r="E69" s="126">
        <v>0</v>
      </c>
      <c r="F69" s="126"/>
      <c r="G69" s="126"/>
      <c r="H69" s="126">
        <v>0</v>
      </c>
      <c r="I69" s="126">
        <v>3</v>
      </c>
      <c r="J69" s="86"/>
      <c r="K69" s="308"/>
      <c r="L69" s="308"/>
    </row>
    <row r="70" spans="1:12" ht="29.25" customHeight="1">
      <c r="A70" s="309"/>
      <c r="B70" s="309"/>
      <c r="C70" s="221">
        <v>2022</v>
      </c>
      <c r="D70" s="222">
        <f>I70</f>
        <v>3</v>
      </c>
      <c r="E70" s="222"/>
      <c r="F70" s="222"/>
      <c r="G70" s="222"/>
      <c r="H70" s="222"/>
      <c r="I70" s="222">
        <v>3</v>
      </c>
      <c r="J70" s="86"/>
      <c r="K70" s="309"/>
      <c r="L70" s="309"/>
    </row>
    <row r="71" spans="1:12" ht="15" customHeight="1">
      <c r="A71" s="307" t="s">
        <v>105</v>
      </c>
      <c r="B71" s="307" t="s">
        <v>42</v>
      </c>
      <c r="C71" s="131">
        <v>2017</v>
      </c>
      <c r="D71" s="126">
        <f>I71</f>
        <v>5</v>
      </c>
      <c r="E71" s="126">
        <v>0</v>
      </c>
      <c r="F71" s="126"/>
      <c r="G71" s="126"/>
      <c r="H71" s="126">
        <v>0</v>
      </c>
      <c r="I71" s="126">
        <v>5</v>
      </c>
      <c r="J71" s="86"/>
      <c r="K71" s="307" t="s">
        <v>32</v>
      </c>
      <c r="L71" s="307" t="s">
        <v>43</v>
      </c>
    </row>
    <row r="72" spans="1:12" ht="20.25" customHeight="1">
      <c r="A72" s="308"/>
      <c r="B72" s="308"/>
      <c r="C72" s="131">
        <v>2018</v>
      </c>
      <c r="D72" s="126">
        <f>SUM(E72:I72)</f>
        <v>0</v>
      </c>
      <c r="E72" s="126">
        <v>0</v>
      </c>
      <c r="F72" s="126"/>
      <c r="G72" s="126"/>
      <c r="H72" s="126">
        <v>0</v>
      </c>
      <c r="I72" s="126">
        <v>0</v>
      </c>
      <c r="J72" s="86"/>
      <c r="K72" s="308"/>
      <c r="L72" s="308"/>
    </row>
    <row r="73" spans="1:12" ht="14.25">
      <c r="A73" s="308"/>
      <c r="B73" s="308"/>
      <c r="C73" s="131">
        <v>2019</v>
      </c>
      <c r="D73" s="126">
        <f>SUM(E73:I73)</f>
        <v>0</v>
      </c>
      <c r="E73" s="126">
        <v>0</v>
      </c>
      <c r="F73" s="126"/>
      <c r="G73" s="126"/>
      <c r="H73" s="126">
        <v>0</v>
      </c>
      <c r="I73" s="126">
        <v>0</v>
      </c>
      <c r="J73" s="86"/>
      <c r="K73" s="308"/>
      <c r="L73" s="308"/>
    </row>
    <row r="74" spans="1:12" ht="14.25">
      <c r="A74" s="308"/>
      <c r="B74" s="308"/>
      <c r="C74" s="131">
        <v>2020</v>
      </c>
      <c r="D74" s="126">
        <f>I74</f>
        <v>2</v>
      </c>
      <c r="E74" s="126">
        <v>0</v>
      </c>
      <c r="F74" s="126"/>
      <c r="G74" s="126"/>
      <c r="H74" s="126">
        <v>0</v>
      </c>
      <c r="I74" s="126">
        <v>2</v>
      </c>
      <c r="J74" s="86"/>
      <c r="K74" s="308"/>
      <c r="L74" s="308"/>
    </row>
    <row r="75" spans="1:12" ht="14.25">
      <c r="A75" s="308"/>
      <c r="B75" s="308"/>
      <c r="C75" s="131">
        <v>2021</v>
      </c>
      <c r="D75" s="126">
        <f>I75</f>
        <v>2</v>
      </c>
      <c r="E75" s="126">
        <v>0</v>
      </c>
      <c r="F75" s="126"/>
      <c r="G75" s="126"/>
      <c r="H75" s="126">
        <v>0</v>
      </c>
      <c r="I75" s="126">
        <v>2</v>
      </c>
      <c r="J75" s="86"/>
      <c r="K75" s="308"/>
      <c r="L75" s="308"/>
    </row>
    <row r="76" spans="1:12" ht="14.25">
      <c r="A76" s="309"/>
      <c r="B76" s="309"/>
      <c r="C76" s="221">
        <v>2022</v>
      </c>
      <c r="D76" s="222">
        <f>I76</f>
        <v>2</v>
      </c>
      <c r="E76" s="222"/>
      <c r="F76" s="222"/>
      <c r="G76" s="222"/>
      <c r="H76" s="222"/>
      <c r="I76" s="222">
        <v>2</v>
      </c>
      <c r="J76" s="86"/>
      <c r="K76" s="309"/>
      <c r="L76" s="309"/>
    </row>
    <row r="77" spans="1:12" ht="18" customHeight="1">
      <c r="A77" s="307" t="s">
        <v>106</v>
      </c>
      <c r="B77" s="307" t="s">
        <v>44</v>
      </c>
      <c r="C77" s="131">
        <v>2017</v>
      </c>
      <c r="D77" s="126">
        <f>I77</f>
        <v>5</v>
      </c>
      <c r="E77" s="126">
        <v>0</v>
      </c>
      <c r="F77" s="126"/>
      <c r="G77" s="126"/>
      <c r="H77" s="126">
        <v>0</v>
      </c>
      <c r="I77" s="126">
        <v>5</v>
      </c>
      <c r="J77" s="86"/>
      <c r="K77" s="307" t="s">
        <v>32</v>
      </c>
      <c r="L77" s="307" t="s">
        <v>45</v>
      </c>
    </row>
    <row r="78" spans="1:12" ht="15.75" customHeight="1">
      <c r="A78" s="308"/>
      <c r="B78" s="308"/>
      <c r="C78" s="131">
        <v>2018</v>
      </c>
      <c r="D78" s="126">
        <f>SUM(E78:I78)</f>
        <v>0</v>
      </c>
      <c r="E78" s="126">
        <v>0</v>
      </c>
      <c r="F78" s="126"/>
      <c r="G78" s="126"/>
      <c r="H78" s="126">
        <v>0</v>
      </c>
      <c r="I78" s="126">
        <v>0</v>
      </c>
      <c r="J78" s="86"/>
      <c r="K78" s="308"/>
      <c r="L78" s="308"/>
    </row>
    <row r="79" spans="1:12" ht="14.25">
      <c r="A79" s="308"/>
      <c r="B79" s="308"/>
      <c r="C79" s="131">
        <v>2019</v>
      </c>
      <c r="D79" s="126">
        <f>SUM(E79:I79)</f>
        <v>0</v>
      </c>
      <c r="E79" s="126">
        <v>0</v>
      </c>
      <c r="F79" s="126"/>
      <c r="G79" s="126"/>
      <c r="H79" s="126">
        <v>0</v>
      </c>
      <c r="I79" s="126">
        <v>0</v>
      </c>
      <c r="J79" s="86"/>
      <c r="K79" s="308"/>
      <c r="L79" s="308"/>
    </row>
    <row r="80" spans="1:12" ht="14.25">
      <c r="A80" s="308"/>
      <c r="B80" s="308"/>
      <c r="C80" s="131">
        <v>2020</v>
      </c>
      <c r="D80" s="126">
        <f>I80</f>
        <v>2</v>
      </c>
      <c r="E80" s="126">
        <v>0</v>
      </c>
      <c r="F80" s="126"/>
      <c r="G80" s="126"/>
      <c r="H80" s="126">
        <v>0</v>
      </c>
      <c r="I80" s="126">
        <v>2</v>
      </c>
      <c r="J80" s="86"/>
      <c r="K80" s="308"/>
      <c r="L80" s="308"/>
    </row>
    <row r="81" spans="1:12" ht="14.25">
      <c r="A81" s="308"/>
      <c r="B81" s="308"/>
      <c r="C81" s="131">
        <v>2021</v>
      </c>
      <c r="D81" s="126">
        <f>I81</f>
        <v>2</v>
      </c>
      <c r="E81" s="126">
        <v>0</v>
      </c>
      <c r="F81" s="126"/>
      <c r="G81" s="126"/>
      <c r="H81" s="126">
        <v>0</v>
      </c>
      <c r="I81" s="126">
        <v>2</v>
      </c>
      <c r="J81" s="86"/>
      <c r="K81" s="308"/>
      <c r="L81" s="308"/>
    </row>
    <row r="82" spans="1:12" ht="14.25">
      <c r="A82" s="309"/>
      <c r="B82" s="309"/>
      <c r="C82" s="221">
        <v>2022</v>
      </c>
      <c r="D82" s="222">
        <f>I82</f>
        <v>2</v>
      </c>
      <c r="E82" s="222"/>
      <c r="F82" s="222"/>
      <c r="G82" s="222"/>
      <c r="H82" s="222"/>
      <c r="I82" s="222">
        <v>2</v>
      </c>
      <c r="J82" s="86"/>
      <c r="K82" s="309"/>
      <c r="L82" s="309"/>
    </row>
    <row r="83" spans="1:12" ht="18" customHeight="1">
      <c r="A83" s="307" t="s">
        <v>107</v>
      </c>
      <c r="B83" s="307" t="s">
        <v>46</v>
      </c>
      <c r="C83" s="131">
        <v>2017</v>
      </c>
      <c r="D83" s="126">
        <f>I83</f>
        <v>80</v>
      </c>
      <c r="E83" s="126">
        <v>0</v>
      </c>
      <c r="F83" s="126"/>
      <c r="G83" s="126"/>
      <c r="H83" s="126">
        <v>0</v>
      </c>
      <c r="I83" s="126">
        <v>80</v>
      </c>
      <c r="J83" s="86"/>
      <c r="K83" s="307" t="s">
        <v>32</v>
      </c>
      <c r="L83" s="307" t="s">
        <v>47</v>
      </c>
    </row>
    <row r="84" spans="1:12" ht="19.5" customHeight="1">
      <c r="A84" s="308"/>
      <c r="B84" s="308"/>
      <c r="C84" s="131">
        <v>2018</v>
      </c>
      <c r="D84" s="126">
        <f>E84+H84+I84</f>
        <v>0</v>
      </c>
      <c r="E84" s="126">
        <v>0</v>
      </c>
      <c r="F84" s="126"/>
      <c r="G84" s="126"/>
      <c r="H84" s="87">
        <v>0</v>
      </c>
      <c r="I84" s="126">
        <v>0</v>
      </c>
      <c r="J84" s="86"/>
      <c r="K84" s="308"/>
      <c r="L84" s="308"/>
    </row>
    <row r="85" spans="1:12" ht="14.25">
      <c r="A85" s="308"/>
      <c r="B85" s="308"/>
      <c r="C85" s="250">
        <v>2019</v>
      </c>
      <c r="D85" s="251">
        <f aca="true" t="shared" si="1" ref="D85:D99">SUM(E85:I85)</f>
        <v>2.8</v>
      </c>
      <c r="E85" s="251">
        <v>0</v>
      </c>
      <c r="F85" s="251"/>
      <c r="G85" s="251"/>
      <c r="H85" s="253">
        <v>0</v>
      </c>
      <c r="I85" s="251">
        <v>2.8</v>
      </c>
      <c r="J85" s="86" t="s">
        <v>39</v>
      </c>
      <c r="K85" s="308"/>
      <c r="L85" s="308"/>
    </row>
    <row r="86" spans="1:12" ht="23.25" customHeight="1">
      <c r="A86" s="308"/>
      <c r="B86" s="308"/>
      <c r="C86" s="131">
        <v>2020</v>
      </c>
      <c r="D86" s="126">
        <f t="shared" si="1"/>
        <v>50</v>
      </c>
      <c r="E86" s="126">
        <v>0</v>
      </c>
      <c r="F86" s="126"/>
      <c r="G86" s="126"/>
      <c r="H86" s="87">
        <v>0</v>
      </c>
      <c r="I86" s="126">
        <v>50</v>
      </c>
      <c r="J86" s="86"/>
      <c r="K86" s="308"/>
      <c r="L86" s="308"/>
    </row>
    <row r="87" spans="1:12" ht="16.5" customHeight="1">
      <c r="A87" s="308"/>
      <c r="B87" s="308"/>
      <c r="C87" s="131">
        <v>2021</v>
      </c>
      <c r="D87" s="126">
        <f>I87</f>
        <v>50</v>
      </c>
      <c r="E87" s="126">
        <v>0</v>
      </c>
      <c r="F87" s="126"/>
      <c r="G87" s="126"/>
      <c r="H87" s="87">
        <v>0</v>
      </c>
      <c r="I87" s="126">
        <v>50</v>
      </c>
      <c r="J87" s="86"/>
      <c r="K87" s="308"/>
      <c r="L87" s="308"/>
    </row>
    <row r="88" spans="1:12" ht="16.5" customHeight="1">
      <c r="A88" s="309"/>
      <c r="B88" s="309"/>
      <c r="C88" s="221">
        <v>2022</v>
      </c>
      <c r="D88" s="222">
        <f>I88</f>
        <v>50</v>
      </c>
      <c r="E88" s="222"/>
      <c r="F88" s="222"/>
      <c r="G88" s="222"/>
      <c r="H88" s="224"/>
      <c r="I88" s="222">
        <v>50</v>
      </c>
      <c r="J88" s="225"/>
      <c r="K88" s="309"/>
      <c r="L88" s="309"/>
    </row>
    <row r="89" spans="1:12" ht="24" customHeight="1">
      <c r="A89" s="307" t="s">
        <v>158</v>
      </c>
      <c r="B89" s="307" t="s">
        <v>160</v>
      </c>
      <c r="C89" s="131">
        <v>2017</v>
      </c>
      <c r="D89" s="126">
        <f t="shared" si="1"/>
        <v>500</v>
      </c>
      <c r="E89" s="126">
        <v>0</v>
      </c>
      <c r="F89" s="126"/>
      <c r="G89" s="126"/>
      <c r="H89" s="87">
        <v>0</v>
      </c>
      <c r="I89" s="126">
        <v>500</v>
      </c>
      <c r="J89" s="86"/>
      <c r="K89" s="88" t="s">
        <v>163</v>
      </c>
      <c r="L89" s="307" t="s">
        <v>162</v>
      </c>
    </row>
    <row r="90" spans="1:12" ht="14.25">
      <c r="A90" s="308"/>
      <c r="B90" s="308"/>
      <c r="C90" s="131">
        <v>2017</v>
      </c>
      <c r="D90" s="126">
        <f>I90</f>
        <v>374.024</v>
      </c>
      <c r="E90" s="126">
        <v>0</v>
      </c>
      <c r="F90" s="126"/>
      <c r="G90" s="126"/>
      <c r="H90" s="87">
        <v>0</v>
      </c>
      <c r="I90" s="126">
        <v>374.024</v>
      </c>
      <c r="J90" s="86"/>
      <c r="K90" s="133" t="s">
        <v>164</v>
      </c>
      <c r="L90" s="308"/>
    </row>
    <row r="91" spans="1:12" ht="14.25">
      <c r="A91" s="308"/>
      <c r="B91" s="308"/>
      <c r="C91" s="131">
        <v>2017</v>
      </c>
      <c r="D91" s="126">
        <f>I91</f>
        <v>234.9695</v>
      </c>
      <c r="E91" s="126">
        <v>0</v>
      </c>
      <c r="F91" s="126"/>
      <c r="G91" s="126"/>
      <c r="H91" s="87">
        <v>0</v>
      </c>
      <c r="I91" s="126">
        <v>234.9695</v>
      </c>
      <c r="J91" s="86"/>
      <c r="K91" s="133" t="s">
        <v>56</v>
      </c>
      <c r="L91" s="308"/>
    </row>
    <row r="92" spans="1:12" ht="14.25" customHeight="1">
      <c r="A92" s="308"/>
      <c r="B92" s="308"/>
      <c r="C92" s="131">
        <v>2018</v>
      </c>
      <c r="D92" s="126">
        <f t="shared" si="1"/>
        <v>359</v>
      </c>
      <c r="E92" s="126">
        <v>0</v>
      </c>
      <c r="F92" s="126"/>
      <c r="G92" s="126"/>
      <c r="H92" s="87">
        <v>0</v>
      </c>
      <c r="I92" s="126">
        <f>50+309</f>
        <v>359</v>
      </c>
      <c r="J92" s="86"/>
      <c r="K92" s="353" t="s">
        <v>32</v>
      </c>
      <c r="L92" s="308"/>
    </row>
    <row r="93" spans="1:12" ht="14.25">
      <c r="A93" s="308"/>
      <c r="B93" s="308"/>
      <c r="C93" s="131">
        <v>2019</v>
      </c>
      <c r="D93" s="174">
        <f>I93</f>
        <v>378.499</v>
      </c>
      <c r="E93" s="174">
        <v>0</v>
      </c>
      <c r="F93" s="174"/>
      <c r="G93" s="174"/>
      <c r="H93" s="181">
        <v>0</v>
      </c>
      <c r="I93" s="174">
        <v>378.499</v>
      </c>
      <c r="J93" s="86"/>
      <c r="K93" s="354"/>
      <c r="L93" s="308"/>
    </row>
    <row r="94" spans="1:12" ht="21" customHeight="1">
      <c r="A94" s="308"/>
      <c r="B94" s="308"/>
      <c r="C94" s="131">
        <v>2020</v>
      </c>
      <c r="D94" s="126">
        <f t="shared" si="1"/>
        <v>50</v>
      </c>
      <c r="E94" s="126">
        <v>0</v>
      </c>
      <c r="F94" s="126"/>
      <c r="G94" s="126"/>
      <c r="H94" s="87">
        <v>0</v>
      </c>
      <c r="I94" s="126">
        <v>50</v>
      </c>
      <c r="J94" s="86"/>
      <c r="K94" s="354"/>
      <c r="L94" s="308"/>
    </row>
    <row r="95" spans="1:12" ht="21" customHeight="1">
      <c r="A95" s="308"/>
      <c r="B95" s="308"/>
      <c r="C95" s="131">
        <v>2021</v>
      </c>
      <c r="D95" s="126">
        <f>I95</f>
        <v>50</v>
      </c>
      <c r="E95" s="126">
        <v>0</v>
      </c>
      <c r="F95" s="126"/>
      <c r="G95" s="126"/>
      <c r="H95" s="87">
        <v>0</v>
      </c>
      <c r="I95" s="126">
        <v>50</v>
      </c>
      <c r="J95" s="86"/>
      <c r="K95" s="354"/>
      <c r="L95" s="308"/>
    </row>
    <row r="96" spans="1:12" ht="21" customHeight="1">
      <c r="A96" s="309"/>
      <c r="B96" s="309"/>
      <c r="C96" s="221">
        <v>2022</v>
      </c>
      <c r="D96" s="222">
        <f>I96</f>
        <v>50</v>
      </c>
      <c r="E96" s="222"/>
      <c r="F96" s="222"/>
      <c r="G96" s="222"/>
      <c r="H96" s="224"/>
      <c r="I96" s="222">
        <v>50</v>
      </c>
      <c r="J96" s="86"/>
      <c r="K96" s="355"/>
      <c r="L96" s="309"/>
    </row>
    <row r="97" spans="1:12" ht="21" customHeight="1">
      <c r="A97" s="307" t="s">
        <v>159</v>
      </c>
      <c r="B97" s="307" t="s">
        <v>166</v>
      </c>
      <c r="C97" s="131">
        <v>2017</v>
      </c>
      <c r="D97" s="126">
        <f>I97</f>
        <v>65.8528</v>
      </c>
      <c r="E97" s="126">
        <v>0</v>
      </c>
      <c r="F97" s="126"/>
      <c r="G97" s="126"/>
      <c r="H97" s="87">
        <v>0</v>
      </c>
      <c r="I97" s="126">
        <v>65.8528</v>
      </c>
      <c r="J97" s="86"/>
      <c r="K97" s="307" t="s">
        <v>57</v>
      </c>
      <c r="L97" s="307" t="s">
        <v>303</v>
      </c>
    </row>
    <row r="98" spans="1:12" ht="14.25" customHeight="1">
      <c r="A98" s="308"/>
      <c r="B98" s="308"/>
      <c r="C98" s="131">
        <v>2018</v>
      </c>
      <c r="D98" s="126">
        <f t="shared" si="1"/>
        <v>60</v>
      </c>
      <c r="E98" s="126">
        <v>0</v>
      </c>
      <c r="F98" s="126"/>
      <c r="G98" s="126"/>
      <c r="H98" s="87">
        <v>0</v>
      </c>
      <c r="I98" s="126">
        <v>60</v>
      </c>
      <c r="J98" s="86"/>
      <c r="K98" s="308"/>
      <c r="L98" s="308"/>
    </row>
    <row r="99" spans="1:12" ht="14.25">
      <c r="A99" s="308"/>
      <c r="B99" s="308"/>
      <c r="C99" s="131">
        <v>2019</v>
      </c>
      <c r="D99" s="174">
        <f t="shared" si="1"/>
        <v>60</v>
      </c>
      <c r="E99" s="174">
        <v>0</v>
      </c>
      <c r="F99" s="174"/>
      <c r="G99" s="174"/>
      <c r="H99" s="181">
        <v>0</v>
      </c>
      <c r="I99" s="174">
        <v>60</v>
      </c>
      <c r="J99" s="86"/>
      <c r="K99" s="308"/>
      <c r="L99" s="308"/>
    </row>
    <row r="100" spans="1:12" ht="14.25">
      <c r="A100" s="308"/>
      <c r="B100" s="308"/>
      <c r="C100" s="131">
        <v>2020</v>
      </c>
      <c r="D100" s="126">
        <f aca="true" t="shared" si="2" ref="D100:D113">I100</f>
        <v>60</v>
      </c>
      <c r="E100" s="126">
        <v>0</v>
      </c>
      <c r="F100" s="126"/>
      <c r="G100" s="126"/>
      <c r="H100" s="87">
        <v>0</v>
      </c>
      <c r="I100" s="126">
        <v>60</v>
      </c>
      <c r="J100" s="86"/>
      <c r="K100" s="308"/>
      <c r="L100" s="308"/>
    </row>
    <row r="101" spans="1:12" ht="14.25">
      <c r="A101" s="308"/>
      <c r="B101" s="308"/>
      <c r="C101" s="131">
        <v>2021</v>
      </c>
      <c r="D101" s="126">
        <f t="shared" si="2"/>
        <v>60</v>
      </c>
      <c r="E101" s="126">
        <v>0</v>
      </c>
      <c r="F101" s="126"/>
      <c r="G101" s="126"/>
      <c r="H101" s="87">
        <v>0</v>
      </c>
      <c r="I101" s="126">
        <v>60</v>
      </c>
      <c r="J101" s="86"/>
      <c r="K101" s="308"/>
      <c r="L101" s="308"/>
    </row>
    <row r="102" spans="1:12" ht="14.25">
      <c r="A102" s="309"/>
      <c r="B102" s="309"/>
      <c r="C102" s="221">
        <v>2022</v>
      </c>
      <c r="D102" s="222">
        <f t="shared" si="2"/>
        <v>60</v>
      </c>
      <c r="E102" s="222"/>
      <c r="F102" s="222"/>
      <c r="G102" s="222"/>
      <c r="H102" s="224"/>
      <c r="I102" s="222">
        <v>60</v>
      </c>
      <c r="J102" s="86"/>
      <c r="K102" s="309"/>
      <c r="L102" s="308"/>
    </row>
    <row r="103" spans="1:12" ht="14.25" customHeight="1">
      <c r="A103" s="307" t="s">
        <v>174</v>
      </c>
      <c r="B103" s="307" t="s">
        <v>175</v>
      </c>
      <c r="C103" s="342">
        <v>2017</v>
      </c>
      <c r="D103" s="126">
        <f t="shared" si="2"/>
        <v>100</v>
      </c>
      <c r="E103" s="126">
        <v>0</v>
      </c>
      <c r="F103" s="126"/>
      <c r="G103" s="126"/>
      <c r="H103" s="87">
        <v>0</v>
      </c>
      <c r="I103" s="126">
        <v>100</v>
      </c>
      <c r="J103" s="86"/>
      <c r="K103" s="133" t="s">
        <v>55</v>
      </c>
      <c r="L103" s="308"/>
    </row>
    <row r="104" spans="1:12" ht="14.25">
      <c r="A104" s="308"/>
      <c r="B104" s="308"/>
      <c r="C104" s="342"/>
      <c r="D104" s="126">
        <f t="shared" si="2"/>
        <v>35</v>
      </c>
      <c r="E104" s="126">
        <v>0</v>
      </c>
      <c r="F104" s="126"/>
      <c r="G104" s="126"/>
      <c r="H104" s="87">
        <v>0</v>
      </c>
      <c r="I104" s="126">
        <v>35</v>
      </c>
      <c r="J104" s="86"/>
      <c r="K104" s="133" t="s">
        <v>173</v>
      </c>
      <c r="L104" s="308"/>
    </row>
    <row r="105" spans="1:12" ht="14.25">
      <c r="A105" s="308"/>
      <c r="B105" s="308"/>
      <c r="C105" s="131">
        <v>2018</v>
      </c>
      <c r="D105" s="126">
        <f t="shared" si="2"/>
        <v>0</v>
      </c>
      <c r="E105" s="126">
        <v>0</v>
      </c>
      <c r="F105" s="126"/>
      <c r="G105" s="126"/>
      <c r="H105" s="87">
        <v>0</v>
      </c>
      <c r="I105" s="126">
        <v>0</v>
      </c>
      <c r="J105" s="86"/>
      <c r="K105" s="133"/>
      <c r="L105" s="308"/>
    </row>
    <row r="106" spans="1:12" ht="14.25">
      <c r="A106" s="308"/>
      <c r="B106" s="308"/>
      <c r="C106" s="131">
        <v>2019</v>
      </c>
      <c r="D106" s="126">
        <f t="shared" si="2"/>
        <v>0</v>
      </c>
      <c r="E106" s="126">
        <v>0</v>
      </c>
      <c r="F106" s="126"/>
      <c r="G106" s="126"/>
      <c r="H106" s="87">
        <v>0</v>
      </c>
      <c r="I106" s="126">
        <v>0</v>
      </c>
      <c r="J106" s="86"/>
      <c r="K106" s="133"/>
      <c r="L106" s="308"/>
    </row>
    <row r="107" spans="1:12" ht="14.25">
      <c r="A107" s="308"/>
      <c r="B107" s="308"/>
      <c r="C107" s="131">
        <v>2020</v>
      </c>
      <c r="D107" s="126">
        <f t="shared" si="2"/>
        <v>0</v>
      </c>
      <c r="E107" s="126">
        <v>0</v>
      </c>
      <c r="F107" s="126"/>
      <c r="G107" s="126"/>
      <c r="H107" s="87">
        <v>0</v>
      </c>
      <c r="I107" s="126">
        <v>0</v>
      </c>
      <c r="J107" s="86"/>
      <c r="K107" s="133"/>
      <c r="L107" s="308"/>
    </row>
    <row r="108" spans="1:12" ht="14.25">
      <c r="A108" s="308"/>
      <c r="B108" s="308"/>
      <c r="C108" s="131">
        <v>2021</v>
      </c>
      <c r="D108" s="126">
        <f t="shared" si="2"/>
        <v>0</v>
      </c>
      <c r="E108" s="126">
        <f>I108</f>
        <v>0</v>
      </c>
      <c r="F108" s="126"/>
      <c r="G108" s="126"/>
      <c r="H108" s="87">
        <v>0</v>
      </c>
      <c r="I108" s="126">
        <v>0</v>
      </c>
      <c r="J108" s="86"/>
      <c r="K108" s="133"/>
      <c r="L108" s="308"/>
    </row>
    <row r="109" spans="1:12" ht="14.25">
      <c r="A109" s="309"/>
      <c r="B109" s="309"/>
      <c r="C109" s="221">
        <v>2022</v>
      </c>
      <c r="D109" s="222">
        <f t="shared" si="2"/>
        <v>0</v>
      </c>
      <c r="E109" s="222"/>
      <c r="F109" s="222"/>
      <c r="G109" s="222"/>
      <c r="H109" s="224"/>
      <c r="I109" s="222">
        <v>0</v>
      </c>
      <c r="J109" s="86"/>
      <c r="K109" s="206"/>
      <c r="L109" s="308"/>
    </row>
    <row r="110" spans="1:12" ht="14.25" customHeight="1">
      <c r="A110" s="307" t="s">
        <v>196</v>
      </c>
      <c r="B110" s="307" t="s">
        <v>197</v>
      </c>
      <c r="C110" s="131">
        <v>2017</v>
      </c>
      <c r="D110" s="126">
        <f t="shared" si="2"/>
        <v>0</v>
      </c>
      <c r="E110" s="126">
        <v>0</v>
      </c>
      <c r="F110" s="126"/>
      <c r="G110" s="126"/>
      <c r="H110" s="87">
        <v>0</v>
      </c>
      <c r="I110" s="126">
        <v>0</v>
      </c>
      <c r="J110" s="86"/>
      <c r="K110" s="133"/>
      <c r="L110" s="308"/>
    </row>
    <row r="111" spans="1:12" ht="14.25">
      <c r="A111" s="308"/>
      <c r="B111" s="308"/>
      <c r="C111" s="131">
        <v>2018</v>
      </c>
      <c r="D111" s="126">
        <f t="shared" si="2"/>
        <v>39.66</v>
      </c>
      <c r="E111" s="126">
        <v>0</v>
      </c>
      <c r="F111" s="126"/>
      <c r="G111" s="126"/>
      <c r="H111" s="87">
        <v>0</v>
      </c>
      <c r="I111" s="126">
        <v>39.66</v>
      </c>
      <c r="J111" s="86"/>
      <c r="K111" s="133" t="s">
        <v>55</v>
      </c>
      <c r="L111" s="308"/>
    </row>
    <row r="112" spans="1:12" ht="14.25">
      <c r="A112" s="308"/>
      <c r="B112" s="308"/>
      <c r="C112" s="131">
        <v>2019</v>
      </c>
      <c r="D112" s="126">
        <f t="shared" si="2"/>
        <v>0</v>
      </c>
      <c r="E112" s="126">
        <v>0</v>
      </c>
      <c r="F112" s="126"/>
      <c r="G112" s="126"/>
      <c r="H112" s="87">
        <v>0</v>
      </c>
      <c r="I112" s="126">
        <v>0</v>
      </c>
      <c r="J112" s="86"/>
      <c r="K112" s="133"/>
      <c r="L112" s="308"/>
    </row>
    <row r="113" spans="1:12" ht="14.25">
      <c r="A113" s="308"/>
      <c r="B113" s="308"/>
      <c r="C113" s="131">
        <v>2020</v>
      </c>
      <c r="D113" s="126">
        <f t="shared" si="2"/>
        <v>0</v>
      </c>
      <c r="E113" s="126">
        <v>0</v>
      </c>
      <c r="F113" s="126"/>
      <c r="G113" s="126"/>
      <c r="H113" s="87">
        <v>0</v>
      </c>
      <c r="I113" s="126">
        <v>0</v>
      </c>
      <c r="J113" s="86"/>
      <c r="K113" s="133"/>
      <c r="L113" s="308"/>
    </row>
    <row r="114" spans="1:12" ht="14.25">
      <c r="A114" s="308"/>
      <c r="B114" s="308"/>
      <c r="C114" s="131">
        <v>2021</v>
      </c>
      <c r="D114" s="126">
        <v>0</v>
      </c>
      <c r="E114" s="126">
        <v>0</v>
      </c>
      <c r="F114" s="126"/>
      <c r="G114" s="126"/>
      <c r="H114" s="87">
        <v>0</v>
      </c>
      <c r="I114" s="126">
        <v>0</v>
      </c>
      <c r="J114" s="86"/>
      <c r="K114" s="133"/>
      <c r="L114" s="309"/>
    </row>
    <row r="115" spans="1:12" ht="14.25">
      <c r="A115" s="309"/>
      <c r="B115" s="309"/>
      <c r="C115" s="221">
        <v>2022</v>
      </c>
      <c r="D115" s="221">
        <f>I115</f>
        <v>0</v>
      </c>
      <c r="E115" s="221"/>
      <c r="F115" s="221"/>
      <c r="G115" s="221"/>
      <c r="H115" s="221"/>
      <c r="I115" s="221">
        <v>0</v>
      </c>
      <c r="J115" s="86"/>
      <c r="K115" s="206"/>
      <c r="L115" s="198"/>
    </row>
    <row r="116" spans="1:12" ht="14.25">
      <c r="A116" s="307"/>
      <c r="B116" s="285" t="s">
        <v>168</v>
      </c>
      <c r="C116" s="113">
        <v>2017</v>
      </c>
      <c r="D116" s="136">
        <f>I116</f>
        <v>2414.4018</v>
      </c>
      <c r="E116" s="136">
        <v>0</v>
      </c>
      <c r="F116" s="136"/>
      <c r="G116" s="136"/>
      <c r="H116" s="136">
        <v>0</v>
      </c>
      <c r="I116" s="136">
        <f>I104+I103+I97+I91+I90+I89+I83+I77+I71+I65+I54+I53+I52+I51+I44+I43+I42+I30+I23+I17+I36</f>
        <v>2414.4018</v>
      </c>
      <c r="J116" s="86"/>
      <c r="K116" s="128"/>
      <c r="L116" s="89"/>
    </row>
    <row r="117" spans="1:12" ht="14.25">
      <c r="A117" s="308"/>
      <c r="B117" s="356"/>
      <c r="C117" s="113">
        <v>2018</v>
      </c>
      <c r="D117" s="136">
        <f>I117</f>
        <v>1441.4070000000002</v>
      </c>
      <c r="E117" s="136">
        <f>E18+E24+E31+E37+E45+E55+E57+E66+E72+E78+E84+E89+E90+E91+E98</f>
        <v>0</v>
      </c>
      <c r="F117" s="136"/>
      <c r="G117" s="136"/>
      <c r="H117" s="136">
        <f>H18+H24+H31+H37+H45+H55+H57+H66+H72+H78+H84+H89+H90+H91+H98</f>
        <v>0</v>
      </c>
      <c r="I117" s="136">
        <f>I105+I98+I92+I84+I78+I72+I66+I57+I45+I37+I31+I24+I18+I55+I56+I111</f>
        <v>1441.4070000000002</v>
      </c>
      <c r="J117" s="86"/>
      <c r="K117" s="128"/>
      <c r="L117" s="89"/>
    </row>
    <row r="118" spans="1:12" ht="14.25">
      <c r="A118" s="308"/>
      <c r="B118" s="356"/>
      <c r="C118" s="246">
        <v>2019</v>
      </c>
      <c r="D118" s="247">
        <f>I118</f>
        <v>1156.0343599999999</v>
      </c>
      <c r="E118" s="247">
        <f>E19+E25+E32+E38+E46+E58+E67+E73+E79+E85+E92+E99</f>
        <v>0</v>
      </c>
      <c r="F118" s="247"/>
      <c r="G118" s="247"/>
      <c r="H118" s="247">
        <f>H19+H25+H32+H38+H46+H58+H67+H73+H79+H85+H92+H99</f>
        <v>0</v>
      </c>
      <c r="I118" s="247">
        <f>I112+++I106+I99+I93+I85+I79+I73+I67+I58+I59+I46+I38+I32+I25+I19+I47</f>
        <v>1156.0343599999999</v>
      </c>
      <c r="J118" s="86"/>
      <c r="K118" s="128"/>
      <c r="L118" s="89"/>
    </row>
    <row r="119" spans="1:12" ht="14.25">
      <c r="A119" s="308"/>
      <c r="B119" s="356"/>
      <c r="C119" s="113">
        <v>2020</v>
      </c>
      <c r="D119" s="136">
        <f>I119</f>
        <v>964</v>
      </c>
      <c r="E119" s="136">
        <f>E20+E26+E33+E39+E48+E60+E68+E74+E80+E86+E94+E107</f>
        <v>0</v>
      </c>
      <c r="F119" s="136"/>
      <c r="G119" s="136"/>
      <c r="H119" s="136">
        <f>H20+H26+H33+H39+H48+H60+H68+H74+H80+H86+H94+H107</f>
        <v>0</v>
      </c>
      <c r="I119" s="136">
        <f>I113+I107+I100+I94+I86+I80+I74+I68+I61+I48+I39+I33+I26+I20+I60</f>
        <v>964</v>
      </c>
      <c r="J119" s="86"/>
      <c r="K119" s="128"/>
      <c r="L119" s="89"/>
    </row>
    <row r="120" spans="1:12" ht="14.25">
      <c r="A120" s="308"/>
      <c r="B120" s="356"/>
      <c r="C120" s="113">
        <v>2021</v>
      </c>
      <c r="D120" s="136">
        <f>I120+H120</f>
        <v>964</v>
      </c>
      <c r="E120" s="136">
        <v>0</v>
      </c>
      <c r="F120" s="136"/>
      <c r="G120" s="136"/>
      <c r="H120" s="136">
        <v>0</v>
      </c>
      <c r="I120" s="136">
        <f>I114+I108+I101+I95+I87+I81+I75+I69+I63+I62+I49+I40+I34+I28+I21</f>
        <v>964</v>
      </c>
      <c r="J120" s="86"/>
      <c r="K120" s="128"/>
      <c r="L120" s="89"/>
    </row>
    <row r="121" spans="1:12" ht="14.25">
      <c r="A121" s="309"/>
      <c r="B121" s="286"/>
      <c r="C121" s="226">
        <v>2022</v>
      </c>
      <c r="D121" s="227">
        <f>I121</f>
        <v>964</v>
      </c>
      <c r="E121" s="227"/>
      <c r="F121" s="227"/>
      <c r="G121" s="227"/>
      <c r="H121" s="227"/>
      <c r="I121" s="227">
        <f>I115+I109+I102+I96+I88+I82+I76+I70+I64+I50+I41+I35+I29+I22</f>
        <v>964</v>
      </c>
      <c r="J121" s="86"/>
      <c r="K121" s="203"/>
      <c r="L121" s="89"/>
    </row>
    <row r="122" spans="1:12" ht="15" customHeight="1">
      <c r="A122" s="357" t="s">
        <v>96</v>
      </c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</row>
    <row r="123" spans="1:12" ht="15" customHeight="1">
      <c r="A123" s="134" t="s">
        <v>150</v>
      </c>
      <c r="B123" s="348" t="s">
        <v>147</v>
      </c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</row>
    <row r="124" spans="1:12" ht="15" customHeight="1">
      <c r="A124" s="134" t="s">
        <v>149</v>
      </c>
      <c r="B124" s="348" t="s">
        <v>148</v>
      </c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</row>
    <row r="125" spans="1:12" ht="15" customHeight="1">
      <c r="A125" s="133"/>
      <c r="B125" s="133" t="s">
        <v>49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360" t="s">
        <v>304</v>
      </c>
    </row>
    <row r="126" spans="1:12" ht="15" customHeight="1">
      <c r="A126" s="307" t="s">
        <v>60</v>
      </c>
      <c r="B126" s="307" t="s">
        <v>183</v>
      </c>
      <c r="C126" s="346">
        <v>2017</v>
      </c>
      <c r="D126" s="143">
        <f>I126</f>
        <v>787.715</v>
      </c>
      <c r="E126" s="143">
        <v>0</v>
      </c>
      <c r="F126" s="143"/>
      <c r="G126" s="143"/>
      <c r="H126" s="143">
        <v>0</v>
      </c>
      <c r="I126" s="143">
        <v>787.715</v>
      </c>
      <c r="J126" s="133"/>
      <c r="K126" s="133" t="s">
        <v>176</v>
      </c>
      <c r="L126" s="361"/>
    </row>
    <row r="127" spans="1:12" ht="15" customHeight="1">
      <c r="A127" s="308"/>
      <c r="B127" s="308"/>
      <c r="C127" s="346"/>
      <c r="D127" s="85">
        <f>I127</f>
        <v>33.923</v>
      </c>
      <c r="E127" s="85">
        <v>0</v>
      </c>
      <c r="F127" s="85"/>
      <c r="G127" s="85"/>
      <c r="H127" s="85">
        <v>0</v>
      </c>
      <c r="I127" s="85">
        <v>33.923</v>
      </c>
      <c r="J127" s="133"/>
      <c r="K127" s="133" t="s">
        <v>56</v>
      </c>
      <c r="L127" s="361"/>
    </row>
    <row r="128" spans="1:12" ht="15" customHeight="1">
      <c r="A128" s="308"/>
      <c r="B128" s="308"/>
      <c r="C128" s="132">
        <v>2018</v>
      </c>
      <c r="D128" s="85">
        <f>I128</f>
        <v>0</v>
      </c>
      <c r="E128" s="85">
        <v>0</v>
      </c>
      <c r="F128" s="85"/>
      <c r="G128" s="85"/>
      <c r="H128" s="85">
        <v>0</v>
      </c>
      <c r="I128" s="85">
        <v>0</v>
      </c>
      <c r="J128" s="133"/>
      <c r="K128" s="133"/>
      <c r="L128" s="361"/>
    </row>
    <row r="129" spans="1:12" ht="15" customHeight="1">
      <c r="A129" s="308"/>
      <c r="B129" s="308"/>
      <c r="C129" s="122">
        <v>2019</v>
      </c>
      <c r="D129" s="123">
        <f>I129</f>
        <v>0</v>
      </c>
      <c r="E129" s="123">
        <v>0</v>
      </c>
      <c r="F129" s="123"/>
      <c r="G129" s="123"/>
      <c r="H129" s="123">
        <v>0</v>
      </c>
      <c r="I129" s="123">
        <v>0</v>
      </c>
      <c r="J129" s="124"/>
      <c r="K129" s="133"/>
      <c r="L129" s="361"/>
    </row>
    <row r="130" spans="1:12" ht="15" customHeight="1">
      <c r="A130" s="308"/>
      <c r="B130" s="308"/>
      <c r="C130" s="132">
        <v>2020</v>
      </c>
      <c r="D130" s="85">
        <f>J130</f>
        <v>0</v>
      </c>
      <c r="E130" s="85">
        <v>0</v>
      </c>
      <c r="F130" s="85"/>
      <c r="G130" s="85"/>
      <c r="H130" s="90">
        <v>0</v>
      </c>
      <c r="I130" s="90">
        <v>0</v>
      </c>
      <c r="J130" s="86"/>
      <c r="K130" s="128"/>
      <c r="L130" s="361"/>
    </row>
    <row r="131" spans="1:12" ht="15" customHeight="1">
      <c r="A131" s="308"/>
      <c r="B131" s="308"/>
      <c r="C131" s="132">
        <v>2021</v>
      </c>
      <c r="D131" s="85">
        <v>0</v>
      </c>
      <c r="E131" s="85">
        <v>0</v>
      </c>
      <c r="F131" s="85"/>
      <c r="G131" s="85"/>
      <c r="H131" s="90">
        <v>0</v>
      </c>
      <c r="I131" s="90">
        <v>0</v>
      </c>
      <c r="J131" s="86"/>
      <c r="K131" s="128"/>
      <c r="L131" s="361"/>
    </row>
    <row r="132" spans="1:12" ht="15" customHeight="1">
      <c r="A132" s="309"/>
      <c r="B132" s="309"/>
      <c r="C132" s="228">
        <v>2022</v>
      </c>
      <c r="D132" s="229">
        <f>I132</f>
        <v>0</v>
      </c>
      <c r="E132" s="229"/>
      <c r="F132" s="229"/>
      <c r="G132" s="229"/>
      <c r="H132" s="230"/>
      <c r="I132" s="230">
        <v>0</v>
      </c>
      <c r="J132" s="86"/>
      <c r="K132" s="203"/>
      <c r="L132" s="361"/>
    </row>
    <row r="133" spans="1:12" ht="15" customHeight="1">
      <c r="A133" s="307" t="s">
        <v>61</v>
      </c>
      <c r="B133" s="307" t="s">
        <v>184</v>
      </c>
      <c r="C133" s="132">
        <v>2017</v>
      </c>
      <c r="D133" s="143">
        <f aca="true" t="shared" si="3" ref="D133:D158">I133</f>
        <v>1349.864</v>
      </c>
      <c r="E133" s="143">
        <v>0</v>
      </c>
      <c r="F133" s="143"/>
      <c r="G133" s="143"/>
      <c r="H133" s="91">
        <v>0</v>
      </c>
      <c r="I133" s="91">
        <v>1349.864</v>
      </c>
      <c r="J133" s="86"/>
      <c r="K133" s="128" t="s">
        <v>51</v>
      </c>
      <c r="L133" s="361"/>
    </row>
    <row r="134" spans="1:12" ht="15" customHeight="1">
      <c r="A134" s="308"/>
      <c r="B134" s="308"/>
      <c r="C134" s="132">
        <v>2018</v>
      </c>
      <c r="D134" s="143">
        <f t="shared" si="3"/>
        <v>0</v>
      </c>
      <c r="E134" s="143">
        <v>0</v>
      </c>
      <c r="F134" s="143"/>
      <c r="G134" s="143"/>
      <c r="H134" s="91">
        <v>0</v>
      </c>
      <c r="I134" s="91">
        <v>0</v>
      </c>
      <c r="J134" s="86"/>
      <c r="K134" s="128"/>
      <c r="L134" s="361"/>
    </row>
    <row r="135" spans="1:12" ht="15" customHeight="1">
      <c r="A135" s="308"/>
      <c r="B135" s="308"/>
      <c r="C135" s="132">
        <v>2019</v>
      </c>
      <c r="D135" s="143">
        <f t="shared" si="3"/>
        <v>0</v>
      </c>
      <c r="E135" s="143">
        <v>0</v>
      </c>
      <c r="F135" s="143"/>
      <c r="G135" s="143"/>
      <c r="H135" s="91">
        <v>0</v>
      </c>
      <c r="I135" s="91">
        <v>0</v>
      </c>
      <c r="J135" s="86"/>
      <c r="K135" s="128"/>
      <c r="L135" s="361"/>
    </row>
    <row r="136" spans="1:12" ht="30" customHeight="1">
      <c r="A136" s="308"/>
      <c r="B136" s="308"/>
      <c r="C136" s="132">
        <v>2020</v>
      </c>
      <c r="D136" s="143">
        <f t="shared" si="3"/>
        <v>0</v>
      </c>
      <c r="E136" s="143">
        <v>0</v>
      </c>
      <c r="F136" s="143"/>
      <c r="G136" s="143"/>
      <c r="H136" s="91">
        <v>0</v>
      </c>
      <c r="I136" s="91">
        <v>0</v>
      </c>
      <c r="J136" s="86"/>
      <c r="K136" s="128"/>
      <c r="L136" s="361"/>
    </row>
    <row r="137" spans="1:12" ht="17.25" customHeight="1">
      <c r="A137" s="308"/>
      <c r="B137" s="308"/>
      <c r="C137" s="132">
        <v>2021</v>
      </c>
      <c r="D137" s="143">
        <v>0</v>
      </c>
      <c r="E137" s="143">
        <v>0</v>
      </c>
      <c r="F137" s="143"/>
      <c r="G137" s="143"/>
      <c r="H137" s="91">
        <v>0</v>
      </c>
      <c r="I137" s="91">
        <v>0</v>
      </c>
      <c r="J137" s="86"/>
      <c r="K137" s="128"/>
      <c r="L137" s="361"/>
    </row>
    <row r="138" spans="1:12" ht="17.25" customHeight="1">
      <c r="A138" s="309"/>
      <c r="B138" s="309"/>
      <c r="C138" s="228">
        <v>2022</v>
      </c>
      <c r="D138" s="231">
        <f>I138</f>
        <v>0</v>
      </c>
      <c r="E138" s="231"/>
      <c r="F138" s="231"/>
      <c r="G138" s="231"/>
      <c r="H138" s="232"/>
      <c r="I138" s="232">
        <v>0</v>
      </c>
      <c r="J138" s="86"/>
      <c r="K138" s="203"/>
      <c r="L138" s="361"/>
    </row>
    <row r="139" spans="1:12" ht="15" customHeight="1">
      <c r="A139" s="307" t="s">
        <v>108</v>
      </c>
      <c r="B139" s="307" t="s">
        <v>185</v>
      </c>
      <c r="C139" s="132">
        <v>2017</v>
      </c>
      <c r="D139" s="143">
        <f t="shared" si="3"/>
        <v>85</v>
      </c>
      <c r="E139" s="143">
        <v>0</v>
      </c>
      <c r="F139" s="143"/>
      <c r="G139" s="143"/>
      <c r="H139" s="91">
        <v>0</v>
      </c>
      <c r="I139" s="91">
        <v>85</v>
      </c>
      <c r="J139" s="86"/>
      <c r="K139" s="128" t="s">
        <v>50</v>
      </c>
      <c r="L139" s="361"/>
    </row>
    <row r="140" spans="1:12" ht="15" customHeight="1">
      <c r="A140" s="308"/>
      <c r="B140" s="308"/>
      <c r="C140" s="132">
        <v>2018</v>
      </c>
      <c r="D140" s="143">
        <f t="shared" si="3"/>
        <v>0</v>
      </c>
      <c r="E140" s="143">
        <v>0</v>
      </c>
      <c r="F140" s="143"/>
      <c r="G140" s="143"/>
      <c r="H140" s="91">
        <v>0</v>
      </c>
      <c r="I140" s="91">
        <v>0</v>
      </c>
      <c r="J140" s="86"/>
      <c r="K140" s="128"/>
      <c r="L140" s="361"/>
    </row>
    <row r="141" spans="1:12" ht="15" customHeight="1">
      <c r="A141" s="308"/>
      <c r="B141" s="308"/>
      <c r="C141" s="132">
        <v>2019</v>
      </c>
      <c r="D141" s="143">
        <f t="shared" si="3"/>
        <v>0</v>
      </c>
      <c r="E141" s="143">
        <v>0</v>
      </c>
      <c r="F141" s="143"/>
      <c r="G141" s="143"/>
      <c r="H141" s="91">
        <v>0</v>
      </c>
      <c r="I141" s="91">
        <v>0</v>
      </c>
      <c r="J141" s="86"/>
      <c r="K141" s="128"/>
      <c r="L141" s="361"/>
    </row>
    <row r="142" spans="1:12" ht="15" customHeight="1">
      <c r="A142" s="308"/>
      <c r="B142" s="308"/>
      <c r="C142" s="132">
        <v>2020</v>
      </c>
      <c r="D142" s="143">
        <f t="shared" si="3"/>
        <v>0</v>
      </c>
      <c r="E142" s="143">
        <v>0</v>
      </c>
      <c r="F142" s="143"/>
      <c r="G142" s="143"/>
      <c r="H142" s="91">
        <v>0</v>
      </c>
      <c r="I142" s="91">
        <v>0</v>
      </c>
      <c r="J142" s="86"/>
      <c r="K142" s="128"/>
      <c r="L142" s="361"/>
    </row>
    <row r="143" spans="1:12" ht="15" customHeight="1">
      <c r="A143" s="308"/>
      <c r="B143" s="308"/>
      <c r="C143" s="132">
        <v>2021</v>
      </c>
      <c r="D143" s="143">
        <v>0</v>
      </c>
      <c r="E143" s="143">
        <v>0</v>
      </c>
      <c r="F143" s="143"/>
      <c r="G143" s="143"/>
      <c r="H143" s="91">
        <v>0</v>
      </c>
      <c r="I143" s="91">
        <v>0</v>
      </c>
      <c r="J143" s="86"/>
      <c r="K143" s="128"/>
      <c r="L143" s="361"/>
    </row>
    <row r="144" spans="1:12" ht="15" customHeight="1">
      <c r="A144" s="309"/>
      <c r="B144" s="309"/>
      <c r="C144" s="228">
        <v>2022</v>
      </c>
      <c r="D144" s="231">
        <f>I144</f>
        <v>0</v>
      </c>
      <c r="E144" s="231"/>
      <c r="F144" s="231"/>
      <c r="G144" s="231"/>
      <c r="H144" s="232"/>
      <c r="I144" s="232">
        <v>0</v>
      </c>
      <c r="J144" s="86"/>
      <c r="K144" s="203"/>
      <c r="L144" s="361"/>
    </row>
    <row r="145" spans="1:12" ht="15" customHeight="1">
      <c r="A145" s="307" t="s">
        <v>109</v>
      </c>
      <c r="B145" s="307" t="s">
        <v>186</v>
      </c>
      <c r="C145" s="346">
        <v>2017</v>
      </c>
      <c r="D145" s="143">
        <f t="shared" si="3"/>
        <v>338.66955</v>
      </c>
      <c r="E145" s="143">
        <v>0</v>
      </c>
      <c r="F145" s="143"/>
      <c r="G145" s="143"/>
      <c r="H145" s="91">
        <v>0</v>
      </c>
      <c r="I145" s="91">
        <v>338.66955</v>
      </c>
      <c r="J145" s="86"/>
      <c r="K145" s="128" t="s">
        <v>50</v>
      </c>
      <c r="L145" s="361"/>
    </row>
    <row r="146" spans="1:12" ht="15" customHeight="1">
      <c r="A146" s="308"/>
      <c r="B146" s="308"/>
      <c r="C146" s="346"/>
      <c r="D146" s="143">
        <f t="shared" si="3"/>
        <v>227.89</v>
      </c>
      <c r="E146" s="143">
        <v>0</v>
      </c>
      <c r="F146" s="143"/>
      <c r="G146" s="143"/>
      <c r="H146" s="91">
        <v>0</v>
      </c>
      <c r="I146" s="91">
        <v>227.89</v>
      </c>
      <c r="J146" s="86"/>
      <c r="K146" s="128" t="s">
        <v>167</v>
      </c>
      <c r="L146" s="361"/>
    </row>
    <row r="147" spans="1:12" ht="15" customHeight="1">
      <c r="A147" s="308"/>
      <c r="B147" s="308"/>
      <c r="C147" s="132">
        <v>2018</v>
      </c>
      <c r="D147" s="143">
        <f t="shared" si="3"/>
        <v>0</v>
      </c>
      <c r="E147" s="143">
        <v>0</v>
      </c>
      <c r="F147" s="143"/>
      <c r="G147" s="143"/>
      <c r="H147" s="91">
        <v>0</v>
      </c>
      <c r="I147" s="91">
        <v>0</v>
      </c>
      <c r="J147" s="86"/>
      <c r="K147" s="128"/>
      <c r="L147" s="361"/>
    </row>
    <row r="148" spans="1:12" ht="15" customHeight="1">
      <c r="A148" s="308"/>
      <c r="B148" s="308"/>
      <c r="C148" s="132">
        <v>2019</v>
      </c>
      <c r="D148" s="143">
        <f t="shared" si="3"/>
        <v>0</v>
      </c>
      <c r="E148" s="143">
        <v>0</v>
      </c>
      <c r="F148" s="143"/>
      <c r="G148" s="143"/>
      <c r="H148" s="91">
        <v>0</v>
      </c>
      <c r="I148" s="91">
        <v>0</v>
      </c>
      <c r="J148" s="86"/>
      <c r="K148" s="128"/>
      <c r="L148" s="361"/>
    </row>
    <row r="149" spans="1:12" ht="15" customHeight="1">
      <c r="A149" s="308"/>
      <c r="B149" s="308"/>
      <c r="C149" s="132">
        <v>2020</v>
      </c>
      <c r="D149" s="143">
        <f t="shared" si="3"/>
        <v>0</v>
      </c>
      <c r="E149" s="143">
        <v>0</v>
      </c>
      <c r="F149" s="143"/>
      <c r="G149" s="143"/>
      <c r="H149" s="91">
        <v>0</v>
      </c>
      <c r="I149" s="91">
        <v>0</v>
      </c>
      <c r="J149" s="86"/>
      <c r="K149" s="128"/>
      <c r="L149" s="361"/>
    </row>
    <row r="150" spans="1:12" ht="15" customHeight="1">
      <c r="A150" s="308"/>
      <c r="B150" s="308"/>
      <c r="C150" s="132">
        <v>2021</v>
      </c>
      <c r="D150" s="143">
        <v>0</v>
      </c>
      <c r="E150" s="143">
        <v>0</v>
      </c>
      <c r="F150" s="143"/>
      <c r="G150" s="143"/>
      <c r="H150" s="91">
        <v>0</v>
      </c>
      <c r="I150" s="91">
        <v>0</v>
      </c>
      <c r="J150" s="86"/>
      <c r="K150" s="128"/>
      <c r="L150" s="361"/>
    </row>
    <row r="151" spans="1:12" ht="15" customHeight="1">
      <c r="A151" s="309"/>
      <c r="B151" s="309"/>
      <c r="C151" s="228">
        <v>2022</v>
      </c>
      <c r="D151" s="231">
        <f>I151</f>
        <v>0</v>
      </c>
      <c r="E151" s="231"/>
      <c r="F151" s="231"/>
      <c r="G151" s="231"/>
      <c r="H151" s="232"/>
      <c r="I151" s="232">
        <v>0</v>
      </c>
      <c r="J151" s="86"/>
      <c r="K151" s="203"/>
      <c r="L151" s="361"/>
    </row>
    <row r="152" spans="1:12" ht="15" customHeight="1">
      <c r="A152" s="307" t="s">
        <v>110</v>
      </c>
      <c r="B152" s="307" t="s">
        <v>187</v>
      </c>
      <c r="C152" s="132">
        <v>2017</v>
      </c>
      <c r="D152" s="143">
        <f t="shared" si="3"/>
        <v>464</v>
      </c>
      <c r="E152" s="143">
        <v>0</v>
      </c>
      <c r="F152" s="143"/>
      <c r="G152" s="143"/>
      <c r="H152" s="91">
        <v>0</v>
      </c>
      <c r="I152" s="91">
        <v>464</v>
      </c>
      <c r="J152" s="86"/>
      <c r="K152" s="128" t="s">
        <v>57</v>
      </c>
      <c r="L152" s="361"/>
    </row>
    <row r="153" spans="1:12" ht="15" customHeight="1">
      <c r="A153" s="308"/>
      <c r="B153" s="308"/>
      <c r="C153" s="132">
        <v>2018</v>
      </c>
      <c r="D153" s="143">
        <f t="shared" si="3"/>
        <v>0</v>
      </c>
      <c r="E153" s="143">
        <v>0</v>
      </c>
      <c r="F153" s="143"/>
      <c r="G153" s="143"/>
      <c r="H153" s="91">
        <v>0</v>
      </c>
      <c r="I153" s="91">
        <v>0</v>
      </c>
      <c r="J153" s="86"/>
      <c r="K153" s="128"/>
      <c r="L153" s="361"/>
    </row>
    <row r="154" spans="1:12" ht="15" customHeight="1">
      <c r="A154" s="308"/>
      <c r="B154" s="308"/>
      <c r="C154" s="132">
        <v>2019</v>
      </c>
      <c r="D154" s="143">
        <f t="shared" si="3"/>
        <v>0</v>
      </c>
      <c r="E154" s="143">
        <v>0</v>
      </c>
      <c r="F154" s="143"/>
      <c r="G154" s="143"/>
      <c r="H154" s="91">
        <v>0</v>
      </c>
      <c r="I154" s="91">
        <v>0</v>
      </c>
      <c r="J154" s="86"/>
      <c r="K154" s="128"/>
      <c r="L154" s="361"/>
    </row>
    <row r="155" spans="1:12" ht="19.5" customHeight="1">
      <c r="A155" s="308"/>
      <c r="B155" s="308"/>
      <c r="C155" s="132">
        <v>2020</v>
      </c>
      <c r="D155" s="143">
        <f t="shared" si="3"/>
        <v>0</v>
      </c>
      <c r="E155" s="143">
        <v>0</v>
      </c>
      <c r="F155" s="143"/>
      <c r="G155" s="143"/>
      <c r="H155" s="91">
        <v>0</v>
      </c>
      <c r="I155" s="91">
        <v>0</v>
      </c>
      <c r="J155" s="86"/>
      <c r="K155" s="128"/>
      <c r="L155" s="361"/>
    </row>
    <row r="156" spans="1:12" ht="15" customHeight="1">
      <c r="A156" s="308"/>
      <c r="B156" s="308"/>
      <c r="C156" s="132">
        <v>2021</v>
      </c>
      <c r="D156" s="143">
        <v>0</v>
      </c>
      <c r="E156" s="143">
        <v>0</v>
      </c>
      <c r="F156" s="143"/>
      <c r="G156" s="143"/>
      <c r="H156" s="91">
        <v>0</v>
      </c>
      <c r="I156" s="91">
        <v>0</v>
      </c>
      <c r="J156" s="86"/>
      <c r="K156" s="128"/>
      <c r="L156" s="361"/>
    </row>
    <row r="157" spans="1:12" ht="15" customHeight="1">
      <c r="A157" s="309"/>
      <c r="B157" s="309"/>
      <c r="C157" s="228">
        <v>2022</v>
      </c>
      <c r="D157" s="231">
        <f>I1624</f>
        <v>0</v>
      </c>
      <c r="E157" s="231"/>
      <c r="F157" s="231"/>
      <c r="G157" s="231"/>
      <c r="H157" s="232"/>
      <c r="I157" s="232">
        <v>0</v>
      </c>
      <c r="J157" s="86"/>
      <c r="K157" s="203"/>
      <c r="L157" s="361"/>
    </row>
    <row r="158" spans="1:12" s="22" customFormat="1" ht="15" customHeight="1">
      <c r="A158" s="307" t="s">
        <v>177</v>
      </c>
      <c r="B158" s="307" t="s">
        <v>170</v>
      </c>
      <c r="C158" s="132">
        <v>2017</v>
      </c>
      <c r="D158" s="143">
        <f t="shared" si="3"/>
        <v>0</v>
      </c>
      <c r="E158" s="143">
        <v>0</v>
      </c>
      <c r="F158" s="143"/>
      <c r="G158" s="143"/>
      <c r="H158" s="91">
        <v>0</v>
      </c>
      <c r="I158" s="91">
        <v>0</v>
      </c>
      <c r="J158" s="86"/>
      <c r="K158" s="128"/>
      <c r="L158" s="361"/>
    </row>
    <row r="159" spans="1:12" s="22" customFormat="1" ht="17.25" customHeight="1">
      <c r="A159" s="308"/>
      <c r="B159" s="358"/>
      <c r="C159" s="131">
        <v>2018</v>
      </c>
      <c r="D159" s="126">
        <f>I159</f>
        <v>195</v>
      </c>
      <c r="E159" s="126">
        <v>0</v>
      </c>
      <c r="F159" s="126"/>
      <c r="G159" s="126"/>
      <c r="H159" s="126">
        <v>0</v>
      </c>
      <c r="I159" s="126">
        <f>200-5</f>
        <v>195</v>
      </c>
      <c r="J159" s="86"/>
      <c r="K159" s="133" t="s">
        <v>171</v>
      </c>
      <c r="L159" s="361"/>
    </row>
    <row r="160" spans="1:12" s="22" customFormat="1" ht="17.25" customHeight="1">
      <c r="A160" s="308"/>
      <c r="B160" s="358"/>
      <c r="C160" s="131">
        <v>2019</v>
      </c>
      <c r="D160" s="126">
        <f>I160</f>
        <v>0</v>
      </c>
      <c r="E160" s="126">
        <v>0</v>
      </c>
      <c r="F160" s="126"/>
      <c r="G160" s="126"/>
      <c r="H160" s="126">
        <v>0</v>
      </c>
      <c r="I160" s="126">
        <v>0</v>
      </c>
      <c r="J160" s="86"/>
      <c r="K160" s="133"/>
      <c r="L160" s="361"/>
    </row>
    <row r="161" spans="1:12" s="22" customFormat="1" ht="14.25">
      <c r="A161" s="308"/>
      <c r="B161" s="358"/>
      <c r="C161" s="131">
        <v>2020</v>
      </c>
      <c r="D161" s="126">
        <f>SUM(E161:I161)</f>
        <v>0</v>
      </c>
      <c r="E161" s="126">
        <v>0</v>
      </c>
      <c r="F161" s="126"/>
      <c r="G161" s="126"/>
      <c r="H161" s="126">
        <v>0</v>
      </c>
      <c r="I161" s="126">
        <v>0</v>
      </c>
      <c r="J161" s="86"/>
      <c r="K161" s="133"/>
      <c r="L161" s="361"/>
    </row>
    <row r="162" spans="1:12" s="22" customFormat="1" ht="14.25">
      <c r="A162" s="308"/>
      <c r="B162" s="358"/>
      <c r="C162" s="131">
        <v>2021</v>
      </c>
      <c r="D162" s="126">
        <v>0</v>
      </c>
      <c r="E162" s="126">
        <v>0</v>
      </c>
      <c r="F162" s="126"/>
      <c r="G162" s="126"/>
      <c r="H162" s="126">
        <v>0</v>
      </c>
      <c r="I162" s="126">
        <v>0</v>
      </c>
      <c r="J162" s="86"/>
      <c r="K162" s="133"/>
      <c r="L162" s="361"/>
    </row>
    <row r="163" spans="1:12" s="22" customFormat="1" ht="14.25">
      <c r="A163" s="309"/>
      <c r="B163" s="359"/>
      <c r="C163" s="221">
        <v>2022</v>
      </c>
      <c r="D163" s="222">
        <f>I163</f>
        <v>0</v>
      </c>
      <c r="E163" s="222"/>
      <c r="F163" s="222"/>
      <c r="G163" s="222"/>
      <c r="H163" s="222"/>
      <c r="I163" s="222">
        <v>0</v>
      </c>
      <c r="J163" s="86"/>
      <c r="K163" s="206"/>
      <c r="L163" s="361"/>
    </row>
    <row r="164" spans="1:12" s="22" customFormat="1" ht="23.25" customHeight="1">
      <c r="A164" s="307" t="s">
        <v>178</v>
      </c>
      <c r="B164" s="307" t="s">
        <v>188</v>
      </c>
      <c r="C164" s="131">
        <v>2017</v>
      </c>
      <c r="D164" s="126">
        <f>I164</f>
        <v>0</v>
      </c>
      <c r="E164" s="126">
        <v>0</v>
      </c>
      <c r="F164" s="126"/>
      <c r="G164" s="126"/>
      <c r="H164" s="126">
        <v>0</v>
      </c>
      <c r="I164" s="126">
        <v>0</v>
      </c>
      <c r="J164" s="86"/>
      <c r="K164" s="133"/>
      <c r="L164" s="361"/>
    </row>
    <row r="165" spans="1:12" s="22" customFormat="1" ht="15" customHeight="1">
      <c r="A165" s="308"/>
      <c r="B165" s="308"/>
      <c r="C165" s="131">
        <v>2018</v>
      </c>
      <c r="D165" s="126">
        <f>I165</f>
        <v>1995.79</v>
      </c>
      <c r="E165" s="126">
        <v>0</v>
      </c>
      <c r="F165" s="126"/>
      <c r="G165" s="126"/>
      <c r="H165" s="126">
        <v>0</v>
      </c>
      <c r="I165" s="126">
        <f>1995.79</f>
        <v>1995.79</v>
      </c>
      <c r="J165" s="86"/>
      <c r="K165" s="344" t="s">
        <v>50</v>
      </c>
      <c r="L165" s="361"/>
    </row>
    <row r="166" spans="1:12" s="22" customFormat="1" ht="15" customHeight="1">
      <c r="A166" s="308"/>
      <c r="B166" s="308"/>
      <c r="C166" s="131">
        <v>2019</v>
      </c>
      <c r="D166" s="126">
        <f>E166+H166+I166</f>
        <v>0</v>
      </c>
      <c r="E166" s="126">
        <v>0</v>
      </c>
      <c r="F166" s="126"/>
      <c r="G166" s="126"/>
      <c r="H166" s="126">
        <v>0</v>
      </c>
      <c r="I166" s="126">
        <v>0</v>
      </c>
      <c r="J166" s="86"/>
      <c r="K166" s="344"/>
      <c r="L166" s="361"/>
    </row>
    <row r="167" spans="1:12" s="22" customFormat="1" ht="14.25" customHeight="1">
      <c r="A167" s="308"/>
      <c r="B167" s="308"/>
      <c r="C167" s="131">
        <v>2020</v>
      </c>
      <c r="D167" s="126">
        <f>SUM(E167:I167)</f>
        <v>0</v>
      </c>
      <c r="E167" s="126">
        <v>0</v>
      </c>
      <c r="F167" s="126"/>
      <c r="G167" s="126"/>
      <c r="H167" s="126">
        <v>0</v>
      </c>
      <c r="I167" s="126">
        <v>0</v>
      </c>
      <c r="J167" s="86"/>
      <c r="K167" s="344"/>
      <c r="L167" s="361"/>
    </row>
    <row r="168" spans="1:12" s="22" customFormat="1" ht="14.25" customHeight="1">
      <c r="A168" s="308"/>
      <c r="B168" s="308"/>
      <c r="C168" s="131">
        <v>2021</v>
      </c>
      <c r="D168" s="126">
        <v>0</v>
      </c>
      <c r="E168" s="126">
        <v>0</v>
      </c>
      <c r="F168" s="126"/>
      <c r="G168" s="126"/>
      <c r="H168" s="126">
        <v>0</v>
      </c>
      <c r="I168" s="126">
        <v>0</v>
      </c>
      <c r="J168" s="86"/>
      <c r="K168" s="128"/>
      <c r="L168" s="361"/>
    </row>
    <row r="169" spans="1:12" s="22" customFormat="1" ht="14.25" customHeight="1">
      <c r="A169" s="309"/>
      <c r="B169" s="309"/>
      <c r="C169" s="221">
        <v>2022</v>
      </c>
      <c r="D169" s="222">
        <f>I169</f>
        <v>0</v>
      </c>
      <c r="E169" s="222"/>
      <c r="F169" s="222"/>
      <c r="G169" s="222"/>
      <c r="H169" s="222"/>
      <c r="I169" s="222"/>
      <c r="J169" s="86"/>
      <c r="K169" s="203"/>
      <c r="L169" s="361"/>
    </row>
    <row r="170" spans="1:12" s="22" customFormat="1" ht="21" customHeight="1">
      <c r="A170" s="307" t="s">
        <v>179</v>
      </c>
      <c r="B170" s="307" t="s">
        <v>238</v>
      </c>
      <c r="C170" s="131">
        <v>2017</v>
      </c>
      <c r="D170" s="126">
        <f>I170</f>
        <v>0</v>
      </c>
      <c r="E170" s="126">
        <v>0</v>
      </c>
      <c r="F170" s="126"/>
      <c r="G170" s="126"/>
      <c r="H170" s="126">
        <v>0</v>
      </c>
      <c r="I170" s="126">
        <v>0</v>
      </c>
      <c r="J170" s="86"/>
      <c r="K170" s="128"/>
      <c r="L170" s="361"/>
    </row>
    <row r="171" spans="1:12" s="22" customFormat="1" ht="21" customHeight="1">
      <c r="A171" s="308"/>
      <c r="B171" s="308"/>
      <c r="C171" s="131">
        <v>2018</v>
      </c>
      <c r="D171" s="126">
        <f>I171</f>
        <v>430.48148</v>
      </c>
      <c r="E171" s="126">
        <v>0</v>
      </c>
      <c r="F171" s="126"/>
      <c r="G171" s="126"/>
      <c r="H171" s="126">
        <v>0</v>
      </c>
      <c r="I171" s="126">
        <v>430.48148</v>
      </c>
      <c r="J171" s="86"/>
      <c r="K171" s="285" t="s">
        <v>50</v>
      </c>
      <c r="L171" s="361"/>
    </row>
    <row r="172" spans="1:12" s="22" customFormat="1" ht="15" customHeight="1">
      <c r="A172" s="308"/>
      <c r="B172" s="308"/>
      <c r="C172" s="173">
        <v>2019</v>
      </c>
      <c r="D172" s="174">
        <f>I172+H172+E172</f>
        <v>20</v>
      </c>
      <c r="E172" s="174">
        <v>0</v>
      </c>
      <c r="F172" s="174"/>
      <c r="G172" s="174"/>
      <c r="H172" s="174">
        <v>0</v>
      </c>
      <c r="I172" s="174">
        <v>20</v>
      </c>
      <c r="J172" s="175"/>
      <c r="K172" s="286"/>
      <c r="L172" s="361"/>
    </row>
    <row r="173" spans="1:12" s="22" customFormat="1" ht="15" customHeight="1">
      <c r="A173" s="308"/>
      <c r="B173" s="308"/>
      <c r="C173" s="131">
        <v>2020</v>
      </c>
      <c r="D173" s="126">
        <f>I173+H173+E173</f>
        <v>0</v>
      </c>
      <c r="E173" s="126">
        <v>0</v>
      </c>
      <c r="F173" s="126"/>
      <c r="G173" s="126"/>
      <c r="H173" s="126">
        <v>0</v>
      </c>
      <c r="I173" s="126">
        <v>0</v>
      </c>
      <c r="J173" s="86"/>
      <c r="K173" s="133"/>
      <c r="L173" s="361"/>
    </row>
    <row r="174" spans="1:12" s="22" customFormat="1" ht="15" customHeight="1">
      <c r="A174" s="308"/>
      <c r="B174" s="308"/>
      <c r="C174" s="131">
        <v>2021</v>
      </c>
      <c r="D174" s="126">
        <v>0</v>
      </c>
      <c r="E174" s="126">
        <v>0</v>
      </c>
      <c r="F174" s="126"/>
      <c r="G174" s="126"/>
      <c r="H174" s="126">
        <v>0</v>
      </c>
      <c r="I174" s="126">
        <v>0</v>
      </c>
      <c r="J174" s="86"/>
      <c r="K174" s="133"/>
      <c r="L174" s="361"/>
    </row>
    <row r="175" spans="1:12" s="22" customFormat="1" ht="15" customHeight="1">
      <c r="A175" s="309"/>
      <c r="B175" s="309"/>
      <c r="C175" s="221">
        <v>2022</v>
      </c>
      <c r="D175" s="222">
        <f>I1801</f>
        <v>0</v>
      </c>
      <c r="E175" s="222"/>
      <c r="F175" s="222"/>
      <c r="G175" s="222"/>
      <c r="H175" s="222"/>
      <c r="I175" s="222">
        <v>0</v>
      </c>
      <c r="J175" s="86"/>
      <c r="K175" s="206"/>
      <c r="L175" s="361"/>
    </row>
    <row r="176" spans="1:12" s="22" customFormat="1" ht="17.25" customHeight="1">
      <c r="A176" s="307" t="s">
        <v>180</v>
      </c>
      <c r="B176" s="307" t="s">
        <v>195</v>
      </c>
      <c r="C176" s="131">
        <v>2017</v>
      </c>
      <c r="D176" s="126">
        <f>I176</f>
        <v>0</v>
      </c>
      <c r="E176" s="126">
        <v>0</v>
      </c>
      <c r="F176" s="126"/>
      <c r="G176" s="126"/>
      <c r="H176" s="126">
        <v>0</v>
      </c>
      <c r="I176" s="126">
        <v>0</v>
      </c>
      <c r="J176" s="86"/>
      <c r="K176" s="133"/>
      <c r="L176" s="361"/>
    </row>
    <row r="177" spans="1:12" s="22" customFormat="1" ht="17.25" customHeight="1">
      <c r="A177" s="308"/>
      <c r="B177" s="308"/>
      <c r="C177" s="131">
        <v>2018</v>
      </c>
      <c r="D177" s="126">
        <f>E177+H177+I177</f>
        <v>99</v>
      </c>
      <c r="E177" s="126">
        <v>0</v>
      </c>
      <c r="F177" s="126"/>
      <c r="G177" s="126"/>
      <c r="H177" s="126">
        <v>0</v>
      </c>
      <c r="I177" s="126">
        <f>700-601</f>
        <v>99</v>
      </c>
      <c r="J177" s="86"/>
      <c r="K177" s="164" t="s">
        <v>50</v>
      </c>
      <c r="L177" s="361"/>
    </row>
    <row r="178" spans="1:12" s="22" customFormat="1" ht="26.25" customHeight="1">
      <c r="A178" s="308"/>
      <c r="B178" s="308"/>
      <c r="C178" s="173">
        <v>2019</v>
      </c>
      <c r="D178" s="174">
        <f>E178+H178+I178</f>
        <v>1500</v>
      </c>
      <c r="E178" s="174">
        <v>0</v>
      </c>
      <c r="F178" s="174"/>
      <c r="G178" s="174"/>
      <c r="H178" s="174">
        <v>0</v>
      </c>
      <c r="I178" s="174">
        <v>1500</v>
      </c>
      <c r="J178" s="175"/>
      <c r="K178" s="259" t="s">
        <v>50</v>
      </c>
      <c r="L178" s="361"/>
    </row>
    <row r="179" spans="1:12" s="22" customFormat="1" ht="21" customHeight="1">
      <c r="A179" s="308"/>
      <c r="B179" s="308"/>
      <c r="C179" s="131">
        <v>2020</v>
      </c>
      <c r="D179" s="126">
        <f>E179+H179+I179</f>
        <v>0</v>
      </c>
      <c r="E179" s="126">
        <v>0</v>
      </c>
      <c r="F179" s="126"/>
      <c r="G179" s="126"/>
      <c r="H179" s="126">
        <v>0</v>
      </c>
      <c r="I179" s="126">
        <v>0</v>
      </c>
      <c r="J179" s="86"/>
      <c r="K179" s="133"/>
      <c r="L179" s="361"/>
    </row>
    <row r="180" spans="1:12" s="22" customFormat="1" ht="21" customHeight="1">
      <c r="A180" s="308"/>
      <c r="B180" s="308"/>
      <c r="C180" s="131">
        <v>2021</v>
      </c>
      <c r="D180" s="126">
        <v>0</v>
      </c>
      <c r="E180" s="126">
        <v>0</v>
      </c>
      <c r="F180" s="126"/>
      <c r="G180" s="126"/>
      <c r="H180" s="126">
        <v>0</v>
      </c>
      <c r="I180" s="126">
        <v>0</v>
      </c>
      <c r="J180" s="86"/>
      <c r="K180" s="133"/>
      <c r="L180" s="361"/>
    </row>
    <row r="181" spans="1:12" s="22" customFormat="1" ht="21" customHeight="1">
      <c r="A181" s="309"/>
      <c r="B181" s="309"/>
      <c r="C181" s="221">
        <v>2022</v>
      </c>
      <c r="D181" s="222">
        <f>I181</f>
        <v>0</v>
      </c>
      <c r="E181" s="222"/>
      <c r="F181" s="222"/>
      <c r="G181" s="222"/>
      <c r="H181" s="222"/>
      <c r="I181" s="222">
        <v>0</v>
      </c>
      <c r="J181" s="86"/>
      <c r="K181" s="206"/>
      <c r="L181" s="361"/>
    </row>
    <row r="182" spans="1:12" s="22" customFormat="1" ht="21" customHeight="1">
      <c r="A182" s="307" t="s">
        <v>181</v>
      </c>
      <c r="B182" s="307" t="s">
        <v>189</v>
      </c>
      <c r="C182" s="131">
        <v>2017</v>
      </c>
      <c r="D182" s="126">
        <f>I182</f>
        <v>0</v>
      </c>
      <c r="E182" s="126">
        <v>0</v>
      </c>
      <c r="F182" s="126"/>
      <c r="G182" s="126"/>
      <c r="H182" s="126">
        <v>0</v>
      </c>
      <c r="I182" s="126">
        <v>0</v>
      </c>
      <c r="J182" s="86"/>
      <c r="K182" s="133"/>
      <c r="L182" s="361"/>
    </row>
    <row r="183" spans="1:12" s="22" customFormat="1" ht="13.5" customHeight="1">
      <c r="A183" s="308"/>
      <c r="B183" s="308"/>
      <c r="C183" s="131">
        <v>2018</v>
      </c>
      <c r="D183" s="126">
        <f>SUM(E183:I183)</f>
        <v>0</v>
      </c>
      <c r="E183" s="126">
        <v>0</v>
      </c>
      <c r="F183" s="126"/>
      <c r="G183" s="126"/>
      <c r="H183" s="126">
        <v>0</v>
      </c>
      <c r="I183" s="126">
        <v>0</v>
      </c>
      <c r="J183" s="86"/>
      <c r="K183" s="344" t="s">
        <v>50</v>
      </c>
      <c r="L183" s="361"/>
    </row>
    <row r="184" spans="1:12" s="22" customFormat="1" ht="15" customHeight="1">
      <c r="A184" s="308"/>
      <c r="B184" s="308"/>
      <c r="C184" s="131">
        <v>2019</v>
      </c>
      <c r="D184" s="126">
        <f>SUM(E184:I184)</f>
        <v>0</v>
      </c>
      <c r="E184" s="126">
        <v>0</v>
      </c>
      <c r="F184" s="126"/>
      <c r="G184" s="126"/>
      <c r="H184" s="126">
        <v>0</v>
      </c>
      <c r="I184" s="126">
        <v>0</v>
      </c>
      <c r="J184" s="86"/>
      <c r="K184" s="344"/>
      <c r="L184" s="361"/>
    </row>
    <row r="185" spans="1:12" s="22" customFormat="1" ht="14.25">
      <c r="A185" s="308"/>
      <c r="B185" s="308"/>
      <c r="C185" s="131">
        <v>2020</v>
      </c>
      <c r="D185" s="126">
        <f>SUM(E185:I185)</f>
        <v>0</v>
      </c>
      <c r="E185" s="126">
        <v>0</v>
      </c>
      <c r="F185" s="126"/>
      <c r="G185" s="126"/>
      <c r="H185" s="126">
        <v>0</v>
      </c>
      <c r="I185" s="126">
        <v>0</v>
      </c>
      <c r="J185" s="86"/>
      <c r="K185" s="344"/>
      <c r="L185" s="361"/>
    </row>
    <row r="186" spans="1:12" s="22" customFormat="1" ht="14.25">
      <c r="A186" s="308"/>
      <c r="B186" s="308"/>
      <c r="C186" s="131">
        <v>2021</v>
      </c>
      <c r="D186" s="126">
        <v>0</v>
      </c>
      <c r="E186" s="126">
        <v>0</v>
      </c>
      <c r="F186" s="126"/>
      <c r="G186" s="126"/>
      <c r="H186" s="126">
        <v>0</v>
      </c>
      <c r="I186" s="126">
        <v>0</v>
      </c>
      <c r="J186" s="86"/>
      <c r="K186" s="128"/>
      <c r="L186" s="361"/>
    </row>
    <row r="187" spans="1:12" s="22" customFormat="1" ht="14.25">
      <c r="A187" s="309"/>
      <c r="B187" s="309"/>
      <c r="C187" s="221"/>
      <c r="D187" s="222">
        <v>0</v>
      </c>
      <c r="E187" s="222"/>
      <c r="F187" s="222"/>
      <c r="G187" s="222"/>
      <c r="H187" s="222"/>
      <c r="I187" s="222">
        <v>0</v>
      </c>
      <c r="J187" s="86"/>
      <c r="K187" s="203"/>
      <c r="L187" s="361"/>
    </row>
    <row r="188" spans="1:12" s="22" customFormat="1" ht="14.25" customHeight="1">
      <c r="A188" s="307" t="s">
        <v>200</v>
      </c>
      <c r="B188" s="287" t="s">
        <v>275</v>
      </c>
      <c r="C188" s="131">
        <v>2017</v>
      </c>
      <c r="D188" s="126">
        <f aca="true" t="shared" si="4" ref="D188:D196">I188</f>
        <v>0</v>
      </c>
      <c r="E188" s="126">
        <v>0</v>
      </c>
      <c r="F188" s="126"/>
      <c r="G188" s="126"/>
      <c r="H188" s="126">
        <v>0</v>
      </c>
      <c r="I188" s="126">
        <v>0</v>
      </c>
      <c r="J188" s="86"/>
      <c r="K188" s="128"/>
      <c r="L188" s="361"/>
    </row>
    <row r="189" spans="1:12" s="22" customFormat="1" ht="14.25">
      <c r="A189" s="308"/>
      <c r="B189" s="288"/>
      <c r="C189" s="131">
        <v>2018</v>
      </c>
      <c r="D189" s="126">
        <f t="shared" si="4"/>
        <v>210.241</v>
      </c>
      <c r="E189" s="126">
        <v>0</v>
      </c>
      <c r="F189" s="126"/>
      <c r="G189" s="126"/>
      <c r="H189" s="126">
        <v>0</v>
      </c>
      <c r="I189" s="126">
        <v>210.241</v>
      </c>
      <c r="J189" s="86"/>
      <c r="K189" s="128" t="s">
        <v>153</v>
      </c>
      <c r="L189" s="361"/>
    </row>
    <row r="190" spans="1:12" s="22" customFormat="1" ht="14.25">
      <c r="A190" s="308"/>
      <c r="B190" s="288"/>
      <c r="C190" s="131">
        <v>2018</v>
      </c>
      <c r="D190" s="126">
        <f t="shared" si="4"/>
        <v>312.53700000000003</v>
      </c>
      <c r="E190" s="126">
        <v>0</v>
      </c>
      <c r="F190" s="126"/>
      <c r="G190" s="126"/>
      <c r="H190" s="126">
        <v>0</v>
      </c>
      <c r="I190" s="126">
        <f>240+72.537</f>
        <v>312.53700000000003</v>
      </c>
      <c r="J190" s="86"/>
      <c r="K190" s="128" t="s">
        <v>52</v>
      </c>
      <c r="L190" s="361"/>
    </row>
    <row r="191" spans="1:12" s="22" customFormat="1" ht="14.25">
      <c r="A191" s="308"/>
      <c r="B191" s="288"/>
      <c r="C191" s="131">
        <v>2018</v>
      </c>
      <c r="D191" s="126">
        <f t="shared" si="4"/>
        <v>150</v>
      </c>
      <c r="E191" s="126">
        <v>0</v>
      </c>
      <c r="F191" s="126"/>
      <c r="G191" s="126"/>
      <c r="H191" s="126">
        <v>0</v>
      </c>
      <c r="I191" s="126">
        <v>150</v>
      </c>
      <c r="J191" s="86"/>
      <c r="K191" s="168" t="s">
        <v>51</v>
      </c>
      <c r="L191" s="361"/>
    </row>
    <row r="192" spans="1:12" s="22" customFormat="1" ht="14.25">
      <c r="A192" s="308"/>
      <c r="B192" s="288"/>
      <c r="C192" s="131">
        <v>2018</v>
      </c>
      <c r="D192" s="126">
        <f t="shared" si="4"/>
        <v>320</v>
      </c>
      <c r="E192" s="126">
        <v>0</v>
      </c>
      <c r="F192" s="126"/>
      <c r="G192" s="126"/>
      <c r="H192" s="126">
        <v>0</v>
      </c>
      <c r="I192" s="126">
        <v>320</v>
      </c>
      <c r="J192" s="86"/>
      <c r="K192" s="128" t="s">
        <v>56</v>
      </c>
      <c r="L192" s="361"/>
    </row>
    <row r="193" spans="1:12" s="22" customFormat="1" ht="14.25">
      <c r="A193" s="308"/>
      <c r="B193" s="288"/>
      <c r="C193" s="131">
        <v>2018</v>
      </c>
      <c r="D193" s="126">
        <f t="shared" si="4"/>
        <v>0</v>
      </c>
      <c r="E193" s="126">
        <v>0</v>
      </c>
      <c r="F193" s="126"/>
      <c r="G193" s="126"/>
      <c r="H193" s="126">
        <v>0</v>
      </c>
      <c r="I193" s="126">
        <v>0</v>
      </c>
      <c r="J193" s="86"/>
      <c r="K193" s="128" t="s">
        <v>198</v>
      </c>
      <c r="L193" s="361"/>
    </row>
    <row r="194" spans="1:12" s="22" customFormat="1" ht="14.25">
      <c r="A194" s="308"/>
      <c r="B194" s="288"/>
      <c r="C194" s="131">
        <v>2019</v>
      </c>
      <c r="D194" s="126">
        <f t="shared" si="4"/>
        <v>0</v>
      </c>
      <c r="E194" s="126">
        <v>0</v>
      </c>
      <c r="F194" s="126"/>
      <c r="G194" s="126"/>
      <c r="H194" s="126">
        <v>0</v>
      </c>
      <c r="I194" s="126">
        <v>0</v>
      </c>
      <c r="J194" s="86"/>
      <c r="K194" s="128"/>
      <c r="L194" s="361"/>
    </row>
    <row r="195" spans="1:12" s="22" customFormat="1" ht="14.25">
      <c r="A195" s="308"/>
      <c r="B195" s="288"/>
      <c r="C195" s="131">
        <v>2020</v>
      </c>
      <c r="D195" s="126">
        <f t="shared" si="4"/>
        <v>0</v>
      </c>
      <c r="E195" s="126">
        <v>0</v>
      </c>
      <c r="F195" s="126"/>
      <c r="G195" s="126"/>
      <c r="H195" s="126">
        <v>0</v>
      </c>
      <c r="I195" s="126">
        <v>0</v>
      </c>
      <c r="J195" s="86"/>
      <c r="K195" s="128"/>
      <c r="L195" s="361"/>
    </row>
    <row r="196" spans="1:12" s="22" customFormat="1" ht="14.25">
      <c r="A196" s="308"/>
      <c r="B196" s="288"/>
      <c r="C196" s="131">
        <v>2021</v>
      </c>
      <c r="D196" s="126">
        <f t="shared" si="4"/>
        <v>0</v>
      </c>
      <c r="E196" s="126">
        <v>0</v>
      </c>
      <c r="F196" s="126"/>
      <c r="G196" s="126"/>
      <c r="H196" s="126">
        <v>0</v>
      </c>
      <c r="I196" s="126">
        <v>0</v>
      </c>
      <c r="J196" s="86"/>
      <c r="K196" s="128"/>
      <c r="L196" s="361"/>
    </row>
    <row r="197" spans="1:12" s="22" customFormat="1" ht="14.25">
      <c r="A197" s="309"/>
      <c r="B197" s="289"/>
      <c r="C197" s="221">
        <v>2022</v>
      </c>
      <c r="D197" s="222">
        <v>0</v>
      </c>
      <c r="E197" s="222"/>
      <c r="F197" s="222"/>
      <c r="G197" s="222"/>
      <c r="H197" s="222"/>
      <c r="I197" s="222">
        <v>0</v>
      </c>
      <c r="J197" s="86"/>
      <c r="K197" s="203"/>
      <c r="L197" s="361"/>
    </row>
    <row r="198" spans="1:12" s="22" customFormat="1" ht="14.25" customHeight="1">
      <c r="A198" s="307" t="s">
        <v>214</v>
      </c>
      <c r="B198" s="287" t="s">
        <v>295</v>
      </c>
      <c r="C198" s="131">
        <v>2017</v>
      </c>
      <c r="D198" s="126">
        <f>H198</f>
        <v>0</v>
      </c>
      <c r="E198" s="126">
        <v>0</v>
      </c>
      <c r="F198" s="126"/>
      <c r="G198" s="126"/>
      <c r="H198" s="126">
        <v>0</v>
      </c>
      <c r="I198" s="126">
        <v>0</v>
      </c>
      <c r="J198" s="86"/>
      <c r="K198" s="128"/>
      <c r="L198" s="361"/>
    </row>
    <row r="199" spans="1:12" s="22" customFormat="1" ht="14.25">
      <c r="A199" s="308"/>
      <c r="B199" s="288"/>
      <c r="C199" s="131">
        <v>2018</v>
      </c>
      <c r="D199" s="126">
        <f>H199+I199</f>
        <v>291.78</v>
      </c>
      <c r="E199" s="126">
        <v>0</v>
      </c>
      <c r="F199" s="126"/>
      <c r="G199" s="126"/>
      <c r="H199" s="126">
        <v>0</v>
      </c>
      <c r="I199" s="126">
        <v>291.78</v>
      </c>
      <c r="J199" s="86"/>
      <c r="K199" s="128" t="s">
        <v>56</v>
      </c>
      <c r="L199" s="361"/>
    </row>
    <row r="200" spans="1:12" s="22" customFormat="1" ht="14.25">
      <c r="A200" s="308"/>
      <c r="B200" s="288"/>
      <c r="C200" s="131">
        <v>2019</v>
      </c>
      <c r="D200" s="126">
        <f>H200</f>
        <v>0</v>
      </c>
      <c r="E200" s="126">
        <v>0</v>
      </c>
      <c r="F200" s="126"/>
      <c r="G200" s="126"/>
      <c r="H200" s="126">
        <v>0</v>
      </c>
      <c r="I200" s="126">
        <v>0</v>
      </c>
      <c r="J200" s="86"/>
      <c r="K200" s="128"/>
      <c r="L200" s="361"/>
    </row>
    <row r="201" spans="1:12" s="22" customFormat="1" ht="14.25">
      <c r="A201" s="308"/>
      <c r="B201" s="288"/>
      <c r="C201" s="131">
        <v>2020</v>
      </c>
      <c r="D201" s="126">
        <f>H201</f>
        <v>0</v>
      </c>
      <c r="E201" s="126">
        <v>0</v>
      </c>
      <c r="F201" s="126"/>
      <c r="G201" s="126"/>
      <c r="H201" s="126">
        <v>0</v>
      </c>
      <c r="I201" s="126">
        <v>0</v>
      </c>
      <c r="J201" s="86"/>
      <c r="K201" s="128"/>
      <c r="L201" s="361"/>
    </row>
    <row r="202" spans="1:12" s="22" customFormat="1" ht="14.25">
      <c r="A202" s="308"/>
      <c r="B202" s="288"/>
      <c r="C202" s="131">
        <v>2021</v>
      </c>
      <c r="D202" s="126">
        <v>0</v>
      </c>
      <c r="E202" s="126">
        <v>0</v>
      </c>
      <c r="F202" s="126"/>
      <c r="G202" s="126"/>
      <c r="H202" s="126">
        <v>0</v>
      </c>
      <c r="I202" s="126">
        <v>0</v>
      </c>
      <c r="J202" s="86"/>
      <c r="K202" s="128"/>
      <c r="L202" s="361"/>
    </row>
    <row r="203" spans="1:12" s="22" customFormat="1" ht="14.25">
      <c r="A203" s="309"/>
      <c r="B203" s="289"/>
      <c r="C203" s="221">
        <v>2022</v>
      </c>
      <c r="D203" s="222">
        <v>0</v>
      </c>
      <c r="E203" s="222"/>
      <c r="F203" s="222"/>
      <c r="G203" s="222"/>
      <c r="H203" s="222"/>
      <c r="I203" s="222">
        <v>0</v>
      </c>
      <c r="J203" s="86"/>
      <c r="K203" s="203"/>
      <c r="L203" s="361"/>
    </row>
    <row r="204" spans="1:12" s="22" customFormat="1" ht="14.25" customHeight="1">
      <c r="A204" s="307" t="s">
        <v>215</v>
      </c>
      <c r="B204" s="287" t="s">
        <v>216</v>
      </c>
      <c r="C204" s="131">
        <v>2017</v>
      </c>
      <c r="D204" s="126">
        <f>H204</f>
        <v>0</v>
      </c>
      <c r="E204" s="126">
        <v>0</v>
      </c>
      <c r="F204" s="126"/>
      <c r="G204" s="126"/>
      <c r="H204" s="126">
        <v>0</v>
      </c>
      <c r="I204" s="126">
        <v>0</v>
      </c>
      <c r="J204" s="86"/>
      <c r="K204" s="128"/>
      <c r="L204" s="361"/>
    </row>
    <row r="205" spans="1:12" s="22" customFormat="1" ht="14.25" customHeight="1">
      <c r="A205" s="308"/>
      <c r="B205" s="288"/>
      <c r="C205" s="131">
        <v>2018</v>
      </c>
      <c r="D205" s="126">
        <f>I205</f>
        <v>195.434</v>
      </c>
      <c r="E205" s="126">
        <v>0</v>
      </c>
      <c r="F205" s="126"/>
      <c r="G205" s="126"/>
      <c r="H205" s="126">
        <v>0</v>
      </c>
      <c r="I205" s="126">
        <v>195.434</v>
      </c>
      <c r="J205" s="86"/>
      <c r="K205" s="128" t="s">
        <v>228</v>
      </c>
      <c r="L205" s="361"/>
    </row>
    <row r="206" spans="1:12" s="22" customFormat="1" ht="14.25">
      <c r="A206" s="308"/>
      <c r="B206" s="288"/>
      <c r="C206" s="131">
        <v>2018</v>
      </c>
      <c r="D206" s="126">
        <f>H206+I206</f>
        <v>537.09719</v>
      </c>
      <c r="E206" s="126">
        <v>0</v>
      </c>
      <c r="F206" s="126"/>
      <c r="G206" s="126"/>
      <c r="H206" s="126">
        <v>0</v>
      </c>
      <c r="I206" s="126">
        <f>537.09719</f>
        <v>537.09719</v>
      </c>
      <c r="J206" s="86"/>
      <c r="K206" s="128" t="s">
        <v>198</v>
      </c>
      <c r="L206" s="361"/>
    </row>
    <row r="207" spans="1:12" s="22" customFormat="1" ht="14.25">
      <c r="A207" s="308"/>
      <c r="B207" s="288"/>
      <c r="C207" s="131">
        <v>2019</v>
      </c>
      <c r="D207" s="126">
        <f>H207</f>
        <v>0</v>
      </c>
      <c r="E207" s="126">
        <v>0</v>
      </c>
      <c r="F207" s="126"/>
      <c r="G207" s="126"/>
      <c r="H207" s="126">
        <v>0</v>
      </c>
      <c r="I207" s="126">
        <v>0</v>
      </c>
      <c r="J207" s="86"/>
      <c r="K207" s="128"/>
      <c r="L207" s="361"/>
    </row>
    <row r="208" spans="1:12" s="22" customFormat="1" ht="14.25">
      <c r="A208" s="308"/>
      <c r="B208" s="288"/>
      <c r="C208" s="131">
        <v>2020</v>
      </c>
      <c r="D208" s="126">
        <f>H208</f>
        <v>0</v>
      </c>
      <c r="E208" s="126">
        <v>0</v>
      </c>
      <c r="F208" s="126"/>
      <c r="G208" s="126"/>
      <c r="H208" s="126">
        <v>0</v>
      </c>
      <c r="I208" s="126">
        <v>0</v>
      </c>
      <c r="J208" s="86"/>
      <c r="K208" s="128"/>
      <c r="L208" s="361"/>
    </row>
    <row r="209" spans="1:12" s="22" customFormat="1" ht="14.25">
      <c r="A209" s="308"/>
      <c r="B209" s="288"/>
      <c r="C209" s="131">
        <v>2021</v>
      </c>
      <c r="D209" s="126">
        <v>0</v>
      </c>
      <c r="E209" s="126">
        <v>0</v>
      </c>
      <c r="F209" s="126"/>
      <c r="G209" s="126"/>
      <c r="H209" s="126">
        <v>0</v>
      </c>
      <c r="I209" s="126">
        <v>0</v>
      </c>
      <c r="J209" s="86"/>
      <c r="K209" s="128"/>
      <c r="L209" s="361"/>
    </row>
    <row r="210" spans="1:12" s="22" customFormat="1" ht="14.25">
      <c r="A210" s="309"/>
      <c r="B210" s="289"/>
      <c r="C210" s="221">
        <v>2022</v>
      </c>
      <c r="D210" s="222">
        <v>0</v>
      </c>
      <c r="E210" s="222"/>
      <c r="F210" s="222"/>
      <c r="G210" s="222"/>
      <c r="H210" s="222"/>
      <c r="I210" s="222">
        <v>0</v>
      </c>
      <c r="J210" s="86"/>
      <c r="K210" s="203"/>
      <c r="L210" s="361"/>
    </row>
    <row r="211" spans="1:12" s="22" customFormat="1" ht="15" customHeight="1">
      <c r="A211" s="219" t="s">
        <v>217</v>
      </c>
      <c r="B211" s="307" t="s">
        <v>223</v>
      </c>
      <c r="C211" s="131">
        <v>2017</v>
      </c>
      <c r="D211" s="126">
        <v>0</v>
      </c>
      <c r="E211" s="126">
        <v>0</v>
      </c>
      <c r="F211" s="126"/>
      <c r="G211" s="126"/>
      <c r="H211" s="126">
        <v>0</v>
      </c>
      <c r="I211" s="126">
        <v>0</v>
      </c>
      <c r="J211" s="86"/>
      <c r="K211" s="128"/>
      <c r="L211" s="361"/>
    </row>
    <row r="212" spans="1:12" s="22" customFormat="1" ht="14.25">
      <c r="A212" s="194"/>
      <c r="B212" s="308"/>
      <c r="C212" s="131">
        <v>2018</v>
      </c>
      <c r="D212" s="126">
        <f>I212</f>
        <v>515.42</v>
      </c>
      <c r="E212" s="126">
        <v>0</v>
      </c>
      <c r="F212" s="126"/>
      <c r="G212" s="126"/>
      <c r="H212" s="126">
        <v>0</v>
      </c>
      <c r="I212" s="126">
        <f>515.5-0.08</f>
        <v>515.42</v>
      </c>
      <c r="J212" s="86"/>
      <c r="K212" s="128" t="s">
        <v>55</v>
      </c>
      <c r="L212" s="361"/>
    </row>
    <row r="213" spans="1:12" s="22" customFormat="1" ht="14.25">
      <c r="A213" s="194"/>
      <c r="B213" s="308"/>
      <c r="C213" s="131">
        <v>2019</v>
      </c>
      <c r="D213" s="126">
        <v>0</v>
      </c>
      <c r="E213" s="126">
        <v>0</v>
      </c>
      <c r="F213" s="126"/>
      <c r="G213" s="126"/>
      <c r="H213" s="126">
        <v>0</v>
      </c>
      <c r="I213" s="126">
        <v>0</v>
      </c>
      <c r="J213" s="86"/>
      <c r="K213" s="128"/>
      <c r="L213" s="361"/>
    </row>
    <row r="214" spans="1:12" s="22" customFormat="1" ht="14.25">
      <c r="A214" s="194"/>
      <c r="B214" s="308"/>
      <c r="C214" s="131">
        <v>2020</v>
      </c>
      <c r="D214" s="126">
        <v>0</v>
      </c>
      <c r="E214" s="126">
        <v>0</v>
      </c>
      <c r="F214" s="126"/>
      <c r="G214" s="126"/>
      <c r="H214" s="126">
        <v>0</v>
      </c>
      <c r="I214" s="126">
        <v>0</v>
      </c>
      <c r="J214" s="86"/>
      <c r="K214" s="128"/>
      <c r="L214" s="361"/>
    </row>
    <row r="215" spans="1:12" s="22" customFormat="1" ht="14.25">
      <c r="A215" s="194"/>
      <c r="B215" s="308"/>
      <c r="C215" s="131">
        <v>2021</v>
      </c>
      <c r="D215" s="126">
        <v>0</v>
      </c>
      <c r="E215" s="126">
        <v>0</v>
      </c>
      <c r="F215" s="126"/>
      <c r="G215" s="126"/>
      <c r="H215" s="126">
        <v>0</v>
      </c>
      <c r="I215" s="126">
        <v>0</v>
      </c>
      <c r="J215" s="86"/>
      <c r="K215" s="128"/>
      <c r="L215" s="361"/>
    </row>
    <row r="216" spans="1:12" s="22" customFormat="1" ht="14.25">
      <c r="A216" s="198"/>
      <c r="B216" s="309"/>
      <c r="C216" s="221">
        <v>2022</v>
      </c>
      <c r="D216" s="222">
        <v>0</v>
      </c>
      <c r="E216" s="222"/>
      <c r="F216" s="222"/>
      <c r="G216" s="222"/>
      <c r="H216" s="222"/>
      <c r="I216" s="222">
        <v>0</v>
      </c>
      <c r="J216" s="86"/>
      <c r="K216" s="203"/>
      <c r="L216" s="361"/>
    </row>
    <row r="217" spans="1:12" s="22" customFormat="1" ht="15" customHeight="1">
      <c r="A217" s="307" t="s">
        <v>218</v>
      </c>
      <c r="B217" s="307" t="s">
        <v>224</v>
      </c>
      <c r="C217" s="131">
        <v>2017</v>
      </c>
      <c r="D217" s="126">
        <v>0</v>
      </c>
      <c r="E217" s="126">
        <v>0</v>
      </c>
      <c r="F217" s="126"/>
      <c r="G217" s="126"/>
      <c r="H217" s="126">
        <v>0</v>
      </c>
      <c r="I217" s="126">
        <v>0</v>
      </c>
      <c r="J217" s="86"/>
      <c r="K217" s="128"/>
      <c r="L217" s="361"/>
    </row>
    <row r="218" spans="1:12" s="22" customFormat="1" ht="14.25">
      <c r="A218" s="308"/>
      <c r="B218" s="308"/>
      <c r="C218" s="131">
        <v>2018</v>
      </c>
      <c r="D218" s="126">
        <f>I218</f>
        <v>135.299</v>
      </c>
      <c r="E218" s="126">
        <v>0</v>
      </c>
      <c r="F218" s="126"/>
      <c r="G218" s="126"/>
      <c r="H218" s="126">
        <v>0</v>
      </c>
      <c r="I218" s="126">
        <v>135.299</v>
      </c>
      <c r="J218" s="86"/>
      <c r="K218" s="128" t="s">
        <v>56</v>
      </c>
      <c r="L218" s="361"/>
    </row>
    <row r="219" spans="1:12" s="22" customFormat="1" ht="14.25">
      <c r="A219" s="308"/>
      <c r="B219" s="308"/>
      <c r="C219" s="131">
        <v>2019</v>
      </c>
      <c r="D219" s="126">
        <v>0</v>
      </c>
      <c r="E219" s="126">
        <v>0</v>
      </c>
      <c r="F219" s="126"/>
      <c r="G219" s="126"/>
      <c r="H219" s="126">
        <v>0</v>
      </c>
      <c r="I219" s="126">
        <v>0</v>
      </c>
      <c r="J219" s="86"/>
      <c r="K219" s="128"/>
      <c r="L219" s="361"/>
    </row>
    <row r="220" spans="1:12" s="22" customFormat="1" ht="14.25">
      <c r="A220" s="308"/>
      <c r="B220" s="308"/>
      <c r="C220" s="131">
        <v>2020</v>
      </c>
      <c r="D220" s="126">
        <v>0</v>
      </c>
      <c r="E220" s="126">
        <v>0</v>
      </c>
      <c r="F220" s="126"/>
      <c r="G220" s="126"/>
      <c r="H220" s="126">
        <v>0</v>
      </c>
      <c r="I220" s="126">
        <v>0</v>
      </c>
      <c r="J220" s="86"/>
      <c r="K220" s="128"/>
      <c r="L220" s="361"/>
    </row>
    <row r="221" spans="1:12" s="22" customFormat="1" ht="14.25">
      <c r="A221" s="308"/>
      <c r="B221" s="308"/>
      <c r="C221" s="131">
        <v>2021</v>
      </c>
      <c r="D221" s="126">
        <v>0</v>
      </c>
      <c r="E221" s="126">
        <v>0</v>
      </c>
      <c r="F221" s="126"/>
      <c r="G221" s="126"/>
      <c r="H221" s="126">
        <v>0</v>
      </c>
      <c r="I221" s="126">
        <v>0</v>
      </c>
      <c r="J221" s="86"/>
      <c r="K221" s="128"/>
      <c r="L221" s="361"/>
    </row>
    <row r="222" spans="1:12" s="22" customFormat="1" ht="14.25">
      <c r="A222" s="309"/>
      <c r="B222" s="309"/>
      <c r="C222" s="221"/>
      <c r="D222" s="222">
        <v>0</v>
      </c>
      <c r="E222" s="222"/>
      <c r="F222" s="222"/>
      <c r="G222" s="222"/>
      <c r="H222" s="222"/>
      <c r="I222" s="222">
        <v>0</v>
      </c>
      <c r="J222" s="86"/>
      <c r="K222" s="203"/>
      <c r="L222" s="361"/>
    </row>
    <row r="223" spans="1:12" s="22" customFormat="1" ht="15" customHeight="1">
      <c r="A223" s="307" t="s">
        <v>219</v>
      </c>
      <c r="B223" s="307" t="s">
        <v>225</v>
      </c>
      <c r="C223" s="131">
        <v>2017</v>
      </c>
      <c r="D223" s="126">
        <v>0</v>
      </c>
      <c r="E223" s="126">
        <v>0</v>
      </c>
      <c r="F223" s="126"/>
      <c r="G223" s="126"/>
      <c r="H223" s="126">
        <v>0</v>
      </c>
      <c r="I223" s="126">
        <v>0</v>
      </c>
      <c r="J223" s="86"/>
      <c r="K223" s="128"/>
      <c r="L223" s="361"/>
    </row>
    <row r="224" spans="1:12" s="22" customFormat="1" ht="14.25">
      <c r="A224" s="308"/>
      <c r="B224" s="308"/>
      <c r="C224" s="131">
        <v>2018</v>
      </c>
      <c r="D224" s="126">
        <f>I224</f>
        <v>99.792</v>
      </c>
      <c r="E224" s="126">
        <v>0</v>
      </c>
      <c r="F224" s="126"/>
      <c r="G224" s="126"/>
      <c r="H224" s="126">
        <v>0</v>
      </c>
      <c r="I224" s="126">
        <f>112-0.208-12</f>
        <v>99.792</v>
      </c>
      <c r="J224" s="86"/>
      <c r="K224" s="128" t="s">
        <v>153</v>
      </c>
      <c r="L224" s="361"/>
    </row>
    <row r="225" spans="1:12" s="22" customFormat="1" ht="14.25">
      <c r="A225" s="308"/>
      <c r="B225" s="308"/>
      <c r="C225" s="131">
        <v>2019</v>
      </c>
      <c r="D225" s="126">
        <v>0</v>
      </c>
      <c r="E225" s="126">
        <v>0</v>
      </c>
      <c r="F225" s="126"/>
      <c r="G225" s="126"/>
      <c r="H225" s="126">
        <v>0</v>
      </c>
      <c r="I225" s="126">
        <v>0</v>
      </c>
      <c r="J225" s="86"/>
      <c r="K225" s="128"/>
      <c r="L225" s="361"/>
    </row>
    <row r="226" spans="1:12" s="22" customFormat="1" ht="14.25">
      <c r="A226" s="308"/>
      <c r="B226" s="308"/>
      <c r="C226" s="131">
        <v>2020</v>
      </c>
      <c r="D226" s="126">
        <v>0</v>
      </c>
      <c r="E226" s="126">
        <v>0</v>
      </c>
      <c r="F226" s="126"/>
      <c r="G226" s="126"/>
      <c r="H226" s="126">
        <v>0</v>
      </c>
      <c r="I226" s="126">
        <v>0</v>
      </c>
      <c r="J226" s="86"/>
      <c r="K226" s="128"/>
      <c r="L226" s="361"/>
    </row>
    <row r="227" spans="1:12" s="22" customFormat="1" ht="14.25">
      <c r="A227" s="308"/>
      <c r="B227" s="308"/>
      <c r="C227" s="131">
        <v>2021</v>
      </c>
      <c r="D227" s="126">
        <v>0</v>
      </c>
      <c r="E227" s="126">
        <v>0</v>
      </c>
      <c r="F227" s="126"/>
      <c r="G227" s="126"/>
      <c r="H227" s="126">
        <v>0</v>
      </c>
      <c r="I227" s="126">
        <v>0</v>
      </c>
      <c r="J227" s="86"/>
      <c r="K227" s="128"/>
      <c r="L227" s="361"/>
    </row>
    <row r="228" spans="1:12" s="22" customFormat="1" ht="14.25">
      <c r="A228" s="309"/>
      <c r="B228" s="309"/>
      <c r="C228" s="221">
        <v>2022</v>
      </c>
      <c r="D228" s="222">
        <v>0</v>
      </c>
      <c r="E228" s="222"/>
      <c r="F228" s="222"/>
      <c r="G228" s="222"/>
      <c r="H228" s="222"/>
      <c r="I228" s="222">
        <v>0</v>
      </c>
      <c r="J228" s="86"/>
      <c r="K228" s="203"/>
      <c r="L228" s="361"/>
    </row>
    <row r="229" spans="1:12" s="22" customFormat="1" ht="15" customHeight="1">
      <c r="A229" s="307" t="s">
        <v>220</v>
      </c>
      <c r="B229" s="307" t="s">
        <v>226</v>
      </c>
      <c r="C229" s="131">
        <v>2017</v>
      </c>
      <c r="D229" s="126">
        <v>0</v>
      </c>
      <c r="E229" s="126">
        <v>0</v>
      </c>
      <c r="F229" s="126"/>
      <c r="G229" s="126"/>
      <c r="H229" s="126">
        <v>0</v>
      </c>
      <c r="I229" s="126">
        <v>0</v>
      </c>
      <c r="J229" s="86"/>
      <c r="K229" s="128"/>
      <c r="L229" s="361"/>
    </row>
    <row r="230" spans="1:12" s="22" customFormat="1" ht="14.25">
      <c r="A230" s="308"/>
      <c r="B230" s="308"/>
      <c r="C230" s="131">
        <v>2018</v>
      </c>
      <c r="D230" s="126">
        <f>I230</f>
        <v>210.463</v>
      </c>
      <c r="E230" s="126">
        <v>0</v>
      </c>
      <c r="F230" s="126"/>
      <c r="G230" s="126"/>
      <c r="H230" s="126">
        <v>0</v>
      </c>
      <c r="I230" s="126">
        <f>310-67.537-32</f>
        <v>210.463</v>
      </c>
      <c r="J230" s="86"/>
      <c r="K230" s="192" t="s">
        <v>52</v>
      </c>
      <c r="L230" s="361"/>
    </row>
    <row r="231" spans="1:12" s="22" customFormat="1" ht="14.25">
      <c r="A231" s="308"/>
      <c r="B231" s="308"/>
      <c r="C231" s="131">
        <v>2019</v>
      </c>
      <c r="D231" s="126">
        <v>0</v>
      </c>
      <c r="E231" s="126">
        <v>0</v>
      </c>
      <c r="F231" s="126"/>
      <c r="G231" s="126"/>
      <c r="H231" s="126">
        <v>0</v>
      </c>
      <c r="I231" s="126">
        <v>0</v>
      </c>
      <c r="J231" s="86"/>
      <c r="K231" s="128"/>
      <c r="L231" s="361"/>
    </row>
    <row r="232" spans="1:12" s="22" customFormat="1" ht="14.25">
      <c r="A232" s="308"/>
      <c r="B232" s="308"/>
      <c r="C232" s="131">
        <v>2020</v>
      </c>
      <c r="D232" s="126">
        <v>0</v>
      </c>
      <c r="E232" s="126">
        <v>0</v>
      </c>
      <c r="F232" s="126"/>
      <c r="G232" s="126"/>
      <c r="H232" s="126">
        <v>0</v>
      </c>
      <c r="I232" s="126">
        <v>0</v>
      </c>
      <c r="J232" s="86"/>
      <c r="K232" s="128"/>
      <c r="L232" s="361"/>
    </row>
    <row r="233" spans="1:12" s="22" customFormat="1" ht="14.25">
      <c r="A233" s="308"/>
      <c r="B233" s="308"/>
      <c r="C233" s="131">
        <v>2021</v>
      </c>
      <c r="D233" s="126">
        <v>0</v>
      </c>
      <c r="E233" s="126">
        <v>0</v>
      </c>
      <c r="F233" s="126"/>
      <c r="G233" s="126"/>
      <c r="H233" s="126">
        <v>0</v>
      </c>
      <c r="I233" s="126">
        <v>0</v>
      </c>
      <c r="J233" s="86"/>
      <c r="K233" s="128"/>
      <c r="L233" s="361"/>
    </row>
    <row r="234" spans="1:12" s="22" customFormat="1" ht="14.25">
      <c r="A234" s="309"/>
      <c r="B234" s="309"/>
      <c r="C234" s="221">
        <v>2022</v>
      </c>
      <c r="D234" s="222">
        <v>0</v>
      </c>
      <c r="E234" s="222"/>
      <c r="F234" s="222"/>
      <c r="G234" s="222"/>
      <c r="H234" s="222"/>
      <c r="I234" s="222">
        <v>0</v>
      </c>
      <c r="J234" s="86"/>
      <c r="K234" s="199"/>
      <c r="L234" s="361"/>
    </row>
    <row r="235" spans="1:12" s="22" customFormat="1" ht="14.25" customHeight="1">
      <c r="A235" s="307" t="s">
        <v>221</v>
      </c>
      <c r="B235" s="307" t="s">
        <v>259</v>
      </c>
      <c r="C235" s="131">
        <v>2017</v>
      </c>
      <c r="D235" s="126">
        <v>0</v>
      </c>
      <c r="E235" s="126">
        <v>0</v>
      </c>
      <c r="F235" s="126"/>
      <c r="G235" s="126"/>
      <c r="H235" s="126">
        <v>0</v>
      </c>
      <c r="I235" s="126">
        <v>0</v>
      </c>
      <c r="J235" s="86"/>
      <c r="K235" s="307" t="s">
        <v>58</v>
      </c>
      <c r="L235" s="361"/>
    </row>
    <row r="236" spans="1:12" s="22" customFormat="1" ht="16.5" customHeight="1">
      <c r="A236" s="308"/>
      <c r="B236" s="308"/>
      <c r="C236" s="131">
        <v>2018</v>
      </c>
      <c r="D236" s="126">
        <f>I236</f>
        <v>160</v>
      </c>
      <c r="E236" s="126">
        <v>0</v>
      </c>
      <c r="F236" s="126"/>
      <c r="G236" s="126"/>
      <c r="H236" s="126">
        <v>0</v>
      </c>
      <c r="I236" s="126">
        <v>160</v>
      </c>
      <c r="J236" s="86"/>
      <c r="K236" s="308"/>
      <c r="L236" s="361"/>
    </row>
    <row r="237" spans="1:12" s="22" customFormat="1" ht="14.25">
      <c r="A237" s="308"/>
      <c r="B237" s="308"/>
      <c r="C237" s="131">
        <v>2019</v>
      </c>
      <c r="D237" s="126">
        <v>0</v>
      </c>
      <c r="E237" s="126">
        <v>0</v>
      </c>
      <c r="F237" s="126"/>
      <c r="G237" s="126"/>
      <c r="H237" s="126">
        <v>0</v>
      </c>
      <c r="I237" s="126">
        <v>0</v>
      </c>
      <c r="J237" s="86"/>
      <c r="K237" s="308"/>
      <c r="L237" s="361"/>
    </row>
    <row r="238" spans="1:12" s="22" customFormat="1" ht="14.25">
      <c r="A238" s="308"/>
      <c r="B238" s="308"/>
      <c r="C238" s="131">
        <v>2020</v>
      </c>
      <c r="D238" s="126">
        <v>0</v>
      </c>
      <c r="E238" s="126">
        <v>0</v>
      </c>
      <c r="F238" s="126"/>
      <c r="G238" s="126"/>
      <c r="H238" s="126">
        <v>0</v>
      </c>
      <c r="I238" s="126">
        <v>0</v>
      </c>
      <c r="J238" s="86"/>
      <c r="K238" s="308"/>
      <c r="L238" s="361"/>
    </row>
    <row r="239" spans="1:12" s="22" customFormat="1" ht="14.25">
      <c r="A239" s="308"/>
      <c r="B239" s="308"/>
      <c r="C239" s="131">
        <v>2021</v>
      </c>
      <c r="D239" s="126">
        <v>0</v>
      </c>
      <c r="E239" s="126">
        <v>0</v>
      </c>
      <c r="F239" s="126"/>
      <c r="G239" s="126"/>
      <c r="H239" s="126">
        <v>0</v>
      </c>
      <c r="I239" s="126">
        <v>0</v>
      </c>
      <c r="J239" s="86"/>
      <c r="K239" s="309"/>
      <c r="L239" s="361"/>
    </row>
    <row r="240" spans="1:12" s="22" customFormat="1" ht="14.25">
      <c r="A240" s="309"/>
      <c r="B240" s="309"/>
      <c r="C240" s="221">
        <v>2022</v>
      </c>
      <c r="D240" s="222">
        <v>0</v>
      </c>
      <c r="E240" s="222"/>
      <c r="F240" s="222"/>
      <c r="G240" s="222"/>
      <c r="H240" s="222"/>
      <c r="I240" s="222">
        <v>0</v>
      </c>
      <c r="J240" s="86"/>
      <c r="K240" s="198"/>
      <c r="L240" s="361"/>
    </row>
    <row r="241" spans="1:12" s="22" customFormat="1" ht="15" customHeight="1">
      <c r="A241" s="307" t="s">
        <v>222</v>
      </c>
      <c r="B241" s="307" t="s">
        <v>227</v>
      </c>
      <c r="C241" s="131">
        <v>2017</v>
      </c>
      <c r="D241" s="126">
        <v>0</v>
      </c>
      <c r="E241" s="126">
        <v>0</v>
      </c>
      <c r="F241" s="126"/>
      <c r="G241" s="126"/>
      <c r="H241" s="126">
        <v>0</v>
      </c>
      <c r="I241" s="126">
        <v>0</v>
      </c>
      <c r="J241" s="86"/>
      <c r="K241" s="128"/>
      <c r="L241" s="361"/>
    </row>
    <row r="242" spans="1:12" s="22" customFormat="1" ht="14.25">
      <c r="A242" s="308"/>
      <c r="B242" s="308"/>
      <c r="C242" s="131">
        <v>2018</v>
      </c>
      <c r="D242" s="126">
        <f>I242</f>
        <v>245.451</v>
      </c>
      <c r="E242" s="126">
        <v>0</v>
      </c>
      <c r="F242" s="126"/>
      <c r="G242" s="126"/>
      <c r="H242" s="126">
        <v>0</v>
      </c>
      <c r="I242" s="126">
        <f>255.701-10.25</f>
        <v>245.451</v>
      </c>
      <c r="J242" s="86"/>
      <c r="K242" s="128" t="s">
        <v>55</v>
      </c>
      <c r="L242" s="361"/>
    </row>
    <row r="243" spans="1:12" s="22" customFormat="1" ht="14.25">
      <c r="A243" s="308"/>
      <c r="B243" s="308"/>
      <c r="C243" s="131">
        <v>2019</v>
      </c>
      <c r="D243" s="126">
        <v>0</v>
      </c>
      <c r="E243" s="126">
        <v>0</v>
      </c>
      <c r="F243" s="126"/>
      <c r="G243" s="126"/>
      <c r="H243" s="126">
        <v>0</v>
      </c>
      <c r="I243" s="126">
        <v>0</v>
      </c>
      <c r="J243" s="86"/>
      <c r="K243" s="128"/>
      <c r="L243" s="361"/>
    </row>
    <row r="244" spans="1:12" s="22" customFormat="1" ht="14.25">
      <c r="A244" s="308"/>
      <c r="B244" s="308"/>
      <c r="C244" s="131">
        <v>2020</v>
      </c>
      <c r="D244" s="126">
        <v>0</v>
      </c>
      <c r="E244" s="126">
        <v>0</v>
      </c>
      <c r="F244" s="126"/>
      <c r="G244" s="126"/>
      <c r="H244" s="126">
        <v>0</v>
      </c>
      <c r="I244" s="126">
        <v>0</v>
      </c>
      <c r="J244" s="86"/>
      <c r="K244" s="128"/>
      <c r="L244" s="361"/>
    </row>
    <row r="245" spans="1:12" s="22" customFormat="1" ht="14.25">
      <c r="A245" s="308"/>
      <c r="B245" s="308"/>
      <c r="C245" s="131">
        <v>2021</v>
      </c>
      <c r="D245" s="126">
        <v>0</v>
      </c>
      <c r="E245" s="126">
        <v>0</v>
      </c>
      <c r="F245" s="126"/>
      <c r="G245" s="126"/>
      <c r="H245" s="126">
        <v>0</v>
      </c>
      <c r="I245" s="126">
        <v>0</v>
      </c>
      <c r="J245" s="86"/>
      <c r="K245" s="128"/>
      <c r="L245" s="361"/>
    </row>
    <row r="246" spans="1:12" s="22" customFormat="1" ht="14.25">
      <c r="A246" s="309"/>
      <c r="B246" s="309"/>
      <c r="C246" s="221">
        <v>2022</v>
      </c>
      <c r="D246" s="222">
        <v>0</v>
      </c>
      <c r="E246" s="222"/>
      <c r="F246" s="222"/>
      <c r="G246" s="222"/>
      <c r="H246" s="222"/>
      <c r="I246" s="222">
        <v>0</v>
      </c>
      <c r="J246" s="86"/>
      <c r="K246" s="203"/>
      <c r="L246" s="361"/>
    </row>
    <row r="247" spans="1:12" s="22" customFormat="1" ht="15" customHeight="1">
      <c r="A247" s="307" t="s">
        <v>229</v>
      </c>
      <c r="B247" s="307" t="s">
        <v>230</v>
      </c>
      <c r="C247" s="131">
        <v>2017</v>
      </c>
      <c r="D247" s="126">
        <v>0</v>
      </c>
      <c r="E247" s="126">
        <v>0</v>
      </c>
      <c r="F247" s="126"/>
      <c r="G247" s="126"/>
      <c r="H247" s="126">
        <v>0</v>
      </c>
      <c r="I247" s="126">
        <v>0</v>
      </c>
      <c r="J247" s="86"/>
      <c r="K247" s="128"/>
      <c r="L247" s="361"/>
    </row>
    <row r="248" spans="1:12" s="22" customFormat="1" ht="14.25">
      <c r="A248" s="308"/>
      <c r="B248" s="308"/>
      <c r="C248" s="131">
        <v>2018</v>
      </c>
      <c r="D248" s="126">
        <f>I248</f>
        <v>468.108</v>
      </c>
      <c r="E248" s="126">
        <v>0</v>
      </c>
      <c r="F248" s="126"/>
      <c r="G248" s="126"/>
      <c r="H248" s="126">
        <v>0</v>
      </c>
      <c r="I248" s="126">
        <f>58.48+10.428+399.2</f>
        <v>468.108</v>
      </c>
      <c r="J248" s="86"/>
      <c r="K248" s="128" t="s">
        <v>228</v>
      </c>
      <c r="L248" s="361"/>
    </row>
    <row r="249" spans="1:12" s="22" customFormat="1" ht="14.25">
      <c r="A249" s="308"/>
      <c r="B249" s="308"/>
      <c r="C249" s="131">
        <v>2019</v>
      </c>
      <c r="D249" s="126">
        <v>0</v>
      </c>
      <c r="E249" s="126">
        <v>0</v>
      </c>
      <c r="F249" s="126"/>
      <c r="G249" s="126"/>
      <c r="H249" s="126">
        <v>0</v>
      </c>
      <c r="I249" s="126">
        <v>0</v>
      </c>
      <c r="J249" s="86"/>
      <c r="K249" s="128"/>
      <c r="L249" s="361"/>
    </row>
    <row r="250" spans="1:12" s="22" customFormat="1" ht="14.25">
      <c r="A250" s="308"/>
      <c r="B250" s="308"/>
      <c r="C250" s="131">
        <v>2020</v>
      </c>
      <c r="D250" s="126">
        <v>0</v>
      </c>
      <c r="E250" s="126">
        <v>0</v>
      </c>
      <c r="F250" s="126"/>
      <c r="G250" s="126"/>
      <c r="H250" s="126">
        <v>0</v>
      </c>
      <c r="I250" s="126">
        <v>0</v>
      </c>
      <c r="J250" s="86"/>
      <c r="K250" s="128"/>
      <c r="L250" s="361"/>
    </row>
    <row r="251" spans="1:12" s="22" customFormat="1" ht="14.25">
      <c r="A251" s="308"/>
      <c r="B251" s="308"/>
      <c r="C251" s="131">
        <v>2021</v>
      </c>
      <c r="D251" s="126">
        <v>0</v>
      </c>
      <c r="E251" s="126">
        <v>0</v>
      </c>
      <c r="F251" s="126"/>
      <c r="G251" s="126"/>
      <c r="H251" s="126">
        <v>0</v>
      </c>
      <c r="I251" s="126">
        <v>0</v>
      </c>
      <c r="J251" s="86"/>
      <c r="K251" s="128"/>
      <c r="L251" s="361"/>
    </row>
    <row r="252" spans="1:12" s="22" customFormat="1" ht="14.25">
      <c r="A252" s="309"/>
      <c r="B252" s="309"/>
      <c r="C252" s="221">
        <v>2022</v>
      </c>
      <c r="D252" s="222">
        <v>0</v>
      </c>
      <c r="E252" s="222"/>
      <c r="F252" s="222"/>
      <c r="G252" s="222"/>
      <c r="H252" s="222"/>
      <c r="I252" s="222">
        <v>0</v>
      </c>
      <c r="J252" s="86"/>
      <c r="K252" s="199"/>
      <c r="L252" s="361"/>
    </row>
    <row r="253" spans="1:12" s="22" customFormat="1" ht="15" customHeight="1">
      <c r="A253" s="350" t="s">
        <v>233</v>
      </c>
      <c r="B253" s="350" t="s">
        <v>241</v>
      </c>
      <c r="C253" s="170">
        <v>2017</v>
      </c>
      <c r="D253" s="171">
        <v>0</v>
      </c>
      <c r="E253" s="171">
        <v>0</v>
      </c>
      <c r="F253" s="171"/>
      <c r="G253" s="171"/>
      <c r="H253" s="171">
        <v>0</v>
      </c>
      <c r="I253" s="171">
        <v>0</v>
      </c>
      <c r="J253" s="172"/>
      <c r="K253" s="301" t="s">
        <v>244</v>
      </c>
      <c r="L253" s="361"/>
    </row>
    <row r="254" spans="1:12" s="22" customFormat="1" ht="14.25">
      <c r="A254" s="351"/>
      <c r="B254" s="351"/>
      <c r="C254" s="170">
        <v>2018</v>
      </c>
      <c r="D254" s="171">
        <v>0</v>
      </c>
      <c r="E254" s="171">
        <v>0</v>
      </c>
      <c r="F254" s="171"/>
      <c r="G254" s="171"/>
      <c r="H254" s="171">
        <v>0</v>
      </c>
      <c r="I254" s="171">
        <v>0</v>
      </c>
      <c r="J254" s="172"/>
      <c r="K254" s="302"/>
      <c r="L254" s="361"/>
    </row>
    <row r="255" spans="1:12" s="22" customFormat="1" ht="14.25">
      <c r="A255" s="351"/>
      <c r="B255" s="351"/>
      <c r="C255" s="173">
        <v>2019</v>
      </c>
      <c r="D255" s="174">
        <f>I255</f>
        <v>4118.9762</v>
      </c>
      <c r="E255" s="174">
        <v>0</v>
      </c>
      <c r="F255" s="174"/>
      <c r="G255" s="174"/>
      <c r="H255" s="174">
        <v>0</v>
      </c>
      <c r="I255" s="174">
        <v>4118.9762</v>
      </c>
      <c r="J255" s="176"/>
      <c r="K255" s="302"/>
      <c r="L255" s="361"/>
    </row>
    <row r="256" spans="1:12" s="22" customFormat="1" ht="14.25">
      <c r="A256" s="351"/>
      <c r="B256" s="351"/>
      <c r="C256" s="170">
        <v>2020</v>
      </c>
      <c r="D256" s="171">
        <v>0</v>
      </c>
      <c r="E256" s="171">
        <v>0</v>
      </c>
      <c r="F256" s="171"/>
      <c r="G256" s="171"/>
      <c r="H256" s="171">
        <v>0</v>
      </c>
      <c r="I256" s="171">
        <v>0</v>
      </c>
      <c r="J256" s="172"/>
      <c r="K256" s="302"/>
      <c r="L256" s="361"/>
    </row>
    <row r="257" spans="1:12" s="22" customFormat="1" ht="14.25">
      <c r="A257" s="351"/>
      <c r="B257" s="351"/>
      <c r="C257" s="170">
        <v>2021</v>
      </c>
      <c r="D257" s="171">
        <v>0</v>
      </c>
      <c r="E257" s="171">
        <v>0</v>
      </c>
      <c r="F257" s="171"/>
      <c r="G257" s="171"/>
      <c r="H257" s="171">
        <v>0</v>
      </c>
      <c r="I257" s="171">
        <v>0</v>
      </c>
      <c r="J257" s="172"/>
      <c r="K257" s="303"/>
      <c r="L257" s="361"/>
    </row>
    <row r="258" spans="1:12" s="22" customFormat="1" ht="14.25">
      <c r="A258" s="352"/>
      <c r="B258" s="352"/>
      <c r="C258" s="221">
        <v>2022</v>
      </c>
      <c r="D258" s="222">
        <v>0</v>
      </c>
      <c r="E258" s="222"/>
      <c r="F258" s="222"/>
      <c r="G258" s="222"/>
      <c r="H258" s="222"/>
      <c r="I258" s="222">
        <v>0</v>
      </c>
      <c r="J258" s="172"/>
      <c r="K258" s="208"/>
      <c r="L258" s="361"/>
    </row>
    <row r="259" spans="1:12" s="22" customFormat="1" ht="15" customHeight="1">
      <c r="A259" s="307" t="s">
        <v>234</v>
      </c>
      <c r="B259" s="307" t="s">
        <v>251</v>
      </c>
      <c r="C259" s="131">
        <v>2017</v>
      </c>
      <c r="D259" s="126">
        <v>0</v>
      </c>
      <c r="E259" s="126">
        <v>0</v>
      </c>
      <c r="F259" s="126"/>
      <c r="G259" s="126"/>
      <c r="H259" s="126">
        <v>0</v>
      </c>
      <c r="I259" s="126">
        <v>0</v>
      </c>
      <c r="J259" s="86"/>
      <c r="K259" s="304" t="s">
        <v>244</v>
      </c>
      <c r="L259" s="361"/>
    </row>
    <row r="260" spans="1:12" s="22" customFormat="1" ht="14.25">
      <c r="A260" s="308"/>
      <c r="B260" s="308"/>
      <c r="C260" s="131">
        <v>2018</v>
      </c>
      <c r="D260" s="126">
        <v>0</v>
      </c>
      <c r="E260" s="126">
        <v>0</v>
      </c>
      <c r="F260" s="126"/>
      <c r="G260" s="126"/>
      <c r="H260" s="126">
        <v>0</v>
      </c>
      <c r="I260" s="126">
        <v>0</v>
      </c>
      <c r="J260" s="86"/>
      <c r="K260" s="305"/>
      <c r="L260" s="361"/>
    </row>
    <row r="261" spans="1:12" s="22" customFormat="1" ht="14.25">
      <c r="A261" s="308"/>
      <c r="B261" s="308"/>
      <c r="C261" s="173">
        <v>2019</v>
      </c>
      <c r="D261" s="174">
        <f>I261</f>
        <v>545.6</v>
      </c>
      <c r="E261" s="174">
        <v>0</v>
      </c>
      <c r="F261" s="174"/>
      <c r="G261" s="174"/>
      <c r="H261" s="174">
        <v>0</v>
      </c>
      <c r="I261" s="174">
        <v>545.6</v>
      </c>
      <c r="J261" s="175"/>
      <c r="K261" s="305"/>
      <c r="L261" s="361"/>
    </row>
    <row r="262" spans="1:12" s="22" customFormat="1" ht="14.25">
      <c r="A262" s="308"/>
      <c r="B262" s="308"/>
      <c r="C262" s="131">
        <v>2020</v>
      </c>
      <c r="D262" s="126">
        <v>0</v>
      </c>
      <c r="E262" s="126">
        <v>0</v>
      </c>
      <c r="F262" s="126"/>
      <c r="G262" s="126"/>
      <c r="H262" s="126">
        <v>0</v>
      </c>
      <c r="I262" s="126">
        <v>0</v>
      </c>
      <c r="J262" s="86"/>
      <c r="K262" s="305"/>
      <c r="L262" s="361"/>
    </row>
    <row r="263" spans="1:12" s="22" customFormat="1" ht="14.25">
      <c r="A263" s="308"/>
      <c r="B263" s="308"/>
      <c r="C263" s="131">
        <v>2021</v>
      </c>
      <c r="D263" s="126">
        <v>0</v>
      </c>
      <c r="E263" s="126">
        <v>0</v>
      </c>
      <c r="F263" s="126"/>
      <c r="G263" s="126"/>
      <c r="H263" s="126">
        <v>0</v>
      </c>
      <c r="I263" s="126">
        <v>0</v>
      </c>
      <c r="J263" s="86"/>
      <c r="K263" s="306"/>
      <c r="L263" s="361"/>
    </row>
    <row r="264" spans="1:12" s="22" customFormat="1" ht="14.25">
      <c r="A264" s="309"/>
      <c r="B264" s="309"/>
      <c r="C264" s="221">
        <v>2022</v>
      </c>
      <c r="D264" s="222">
        <v>0</v>
      </c>
      <c r="E264" s="222"/>
      <c r="F264" s="222"/>
      <c r="G264" s="222"/>
      <c r="H264" s="222"/>
      <c r="I264" s="222">
        <v>0</v>
      </c>
      <c r="J264" s="86"/>
      <c r="K264" s="196"/>
      <c r="L264" s="361"/>
    </row>
    <row r="265" spans="1:12" s="22" customFormat="1" ht="15" customHeight="1">
      <c r="A265" s="307" t="s">
        <v>235</v>
      </c>
      <c r="B265" s="307" t="s">
        <v>254</v>
      </c>
      <c r="C265" s="131">
        <v>2017</v>
      </c>
      <c r="D265" s="126">
        <v>0</v>
      </c>
      <c r="E265" s="126">
        <v>0</v>
      </c>
      <c r="F265" s="126"/>
      <c r="G265" s="126"/>
      <c r="H265" s="126">
        <v>0</v>
      </c>
      <c r="I265" s="126">
        <v>0</v>
      </c>
      <c r="J265" s="86"/>
      <c r="K265" s="290" t="s">
        <v>51</v>
      </c>
      <c r="L265" s="361"/>
    </row>
    <row r="266" spans="1:12" s="22" customFormat="1" ht="14.25">
      <c r="A266" s="308"/>
      <c r="B266" s="308"/>
      <c r="C266" s="131">
        <v>2018</v>
      </c>
      <c r="D266" s="126">
        <v>0</v>
      </c>
      <c r="E266" s="126">
        <v>0</v>
      </c>
      <c r="F266" s="126"/>
      <c r="G266" s="126"/>
      <c r="H266" s="126">
        <v>0</v>
      </c>
      <c r="I266" s="126">
        <v>0</v>
      </c>
      <c r="J266" s="86"/>
      <c r="K266" s="291"/>
      <c r="L266" s="361"/>
    </row>
    <row r="267" spans="1:12" s="22" customFormat="1" ht="14.25">
      <c r="A267" s="308"/>
      <c r="B267" s="308"/>
      <c r="C267" s="173">
        <v>2019</v>
      </c>
      <c r="D267" s="174">
        <f>I267</f>
        <v>158.51999999999998</v>
      </c>
      <c r="E267" s="174">
        <v>0</v>
      </c>
      <c r="F267" s="174"/>
      <c r="G267" s="174"/>
      <c r="H267" s="174">
        <v>0</v>
      </c>
      <c r="I267" s="174">
        <f>175.67-17.15</f>
        <v>158.51999999999998</v>
      </c>
      <c r="J267" s="175"/>
      <c r="K267" s="291"/>
      <c r="L267" s="361"/>
    </row>
    <row r="268" spans="1:12" s="22" customFormat="1" ht="14.25">
      <c r="A268" s="308"/>
      <c r="B268" s="308"/>
      <c r="C268" s="131">
        <v>2020</v>
      </c>
      <c r="D268" s="126">
        <v>0</v>
      </c>
      <c r="E268" s="126">
        <v>0</v>
      </c>
      <c r="F268" s="126"/>
      <c r="G268" s="126"/>
      <c r="H268" s="126">
        <v>0</v>
      </c>
      <c r="I268" s="126">
        <v>0</v>
      </c>
      <c r="J268" s="86"/>
      <c r="K268" s="291"/>
      <c r="L268" s="361"/>
    </row>
    <row r="269" spans="1:12" s="22" customFormat="1" ht="14.25">
      <c r="A269" s="308"/>
      <c r="B269" s="308"/>
      <c r="C269" s="131">
        <v>2021</v>
      </c>
      <c r="D269" s="126">
        <v>0</v>
      </c>
      <c r="E269" s="126">
        <v>0</v>
      </c>
      <c r="F269" s="126"/>
      <c r="G269" s="126"/>
      <c r="H269" s="126">
        <v>0</v>
      </c>
      <c r="I269" s="126">
        <v>0</v>
      </c>
      <c r="J269" s="86"/>
      <c r="K269" s="292"/>
      <c r="L269" s="361"/>
    </row>
    <row r="270" spans="1:12" s="22" customFormat="1" ht="14.25">
      <c r="A270" s="309"/>
      <c r="B270" s="309"/>
      <c r="C270" s="221">
        <v>2022</v>
      </c>
      <c r="D270" s="222">
        <v>0</v>
      </c>
      <c r="E270" s="222"/>
      <c r="F270" s="222"/>
      <c r="G270" s="222"/>
      <c r="H270" s="222"/>
      <c r="I270" s="222">
        <v>0</v>
      </c>
      <c r="J270" s="86"/>
      <c r="K270" s="196"/>
      <c r="L270" s="361"/>
    </row>
    <row r="271" spans="1:12" s="22" customFormat="1" ht="15" customHeight="1">
      <c r="A271" s="307" t="s">
        <v>236</v>
      </c>
      <c r="B271" s="307" t="s">
        <v>249</v>
      </c>
      <c r="C271" s="131">
        <v>2017</v>
      </c>
      <c r="D271" s="126">
        <v>0</v>
      </c>
      <c r="E271" s="126">
        <v>0</v>
      </c>
      <c r="F271" s="126"/>
      <c r="G271" s="126"/>
      <c r="H271" s="126">
        <v>0</v>
      </c>
      <c r="I271" s="126">
        <v>0</v>
      </c>
      <c r="J271" s="86"/>
      <c r="K271" s="304" t="s">
        <v>244</v>
      </c>
      <c r="L271" s="361"/>
    </row>
    <row r="272" spans="1:12" s="22" customFormat="1" ht="14.25">
      <c r="A272" s="308"/>
      <c r="B272" s="308"/>
      <c r="C272" s="131">
        <v>2018</v>
      </c>
      <c r="D272" s="126">
        <v>0</v>
      </c>
      <c r="E272" s="126">
        <v>0</v>
      </c>
      <c r="F272" s="126"/>
      <c r="G272" s="126"/>
      <c r="H272" s="126">
        <v>0</v>
      </c>
      <c r="I272" s="126">
        <v>0</v>
      </c>
      <c r="J272" s="86"/>
      <c r="K272" s="305"/>
      <c r="L272" s="361"/>
    </row>
    <row r="273" spans="1:12" s="22" customFormat="1" ht="14.25">
      <c r="A273" s="308"/>
      <c r="B273" s="308"/>
      <c r="C273" s="173">
        <v>2019</v>
      </c>
      <c r="D273" s="174">
        <f>I273</f>
        <v>0</v>
      </c>
      <c r="E273" s="174">
        <v>0</v>
      </c>
      <c r="F273" s="174"/>
      <c r="G273" s="174"/>
      <c r="H273" s="174">
        <v>0</v>
      </c>
      <c r="I273" s="174">
        <v>0</v>
      </c>
      <c r="J273" s="175"/>
      <c r="K273" s="305"/>
      <c r="L273" s="361"/>
    </row>
    <row r="274" spans="1:12" s="22" customFormat="1" ht="14.25">
      <c r="A274" s="308"/>
      <c r="B274" s="308"/>
      <c r="C274" s="131">
        <v>2020</v>
      </c>
      <c r="D274" s="126">
        <v>0</v>
      </c>
      <c r="E274" s="126">
        <v>0</v>
      </c>
      <c r="F274" s="126"/>
      <c r="G274" s="126"/>
      <c r="H274" s="126">
        <v>0</v>
      </c>
      <c r="I274" s="126">
        <v>0</v>
      </c>
      <c r="J274" s="86"/>
      <c r="K274" s="305"/>
      <c r="L274" s="361"/>
    </row>
    <row r="275" spans="1:12" s="22" customFormat="1" ht="14.25">
      <c r="A275" s="308"/>
      <c r="B275" s="308"/>
      <c r="C275" s="131">
        <v>2021</v>
      </c>
      <c r="D275" s="126">
        <v>0</v>
      </c>
      <c r="E275" s="126">
        <v>0</v>
      </c>
      <c r="F275" s="126"/>
      <c r="G275" s="126"/>
      <c r="H275" s="126">
        <v>0</v>
      </c>
      <c r="I275" s="126">
        <v>0</v>
      </c>
      <c r="J275" s="86"/>
      <c r="K275" s="306"/>
      <c r="L275" s="361"/>
    </row>
    <row r="276" spans="1:12" s="22" customFormat="1" ht="14.25">
      <c r="A276" s="309"/>
      <c r="B276" s="309"/>
      <c r="C276" s="221">
        <v>2022</v>
      </c>
      <c r="D276" s="222">
        <v>0</v>
      </c>
      <c r="E276" s="222"/>
      <c r="F276" s="222"/>
      <c r="G276" s="222"/>
      <c r="H276" s="222"/>
      <c r="I276" s="222">
        <v>0</v>
      </c>
      <c r="J276" s="86"/>
      <c r="K276" s="196"/>
      <c r="L276" s="361"/>
    </row>
    <row r="277" spans="1:12" s="22" customFormat="1" ht="14.25">
      <c r="A277" s="307" t="s">
        <v>237</v>
      </c>
      <c r="B277" s="307" t="s">
        <v>243</v>
      </c>
      <c r="C277" s="131">
        <v>2017</v>
      </c>
      <c r="D277" s="126">
        <v>0</v>
      </c>
      <c r="E277" s="126">
        <v>0</v>
      </c>
      <c r="F277" s="126"/>
      <c r="G277" s="126"/>
      <c r="H277" s="126">
        <v>0</v>
      </c>
      <c r="I277" s="126">
        <v>0</v>
      </c>
      <c r="J277" s="86"/>
      <c r="K277" s="290" t="s">
        <v>248</v>
      </c>
      <c r="L277" s="361"/>
    </row>
    <row r="278" spans="1:12" s="22" customFormat="1" ht="14.25">
      <c r="A278" s="308"/>
      <c r="B278" s="308"/>
      <c r="C278" s="131">
        <v>2018</v>
      </c>
      <c r="D278" s="126">
        <v>0</v>
      </c>
      <c r="E278" s="126">
        <v>0</v>
      </c>
      <c r="F278" s="126"/>
      <c r="G278" s="126"/>
      <c r="H278" s="126">
        <v>0</v>
      </c>
      <c r="I278" s="126">
        <v>0</v>
      </c>
      <c r="J278" s="86"/>
      <c r="K278" s="291"/>
      <c r="L278" s="361"/>
    </row>
    <row r="279" spans="1:12" s="22" customFormat="1" ht="14.25">
      <c r="A279" s="308"/>
      <c r="B279" s="308"/>
      <c r="C279" s="173">
        <v>2019</v>
      </c>
      <c r="D279" s="174">
        <f>I279</f>
        <v>114.425</v>
      </c>
      <c r="E279" s="174">
        <v>0</v>
      </c>
      <c r="F279" s="174"/>
      <c r="G279" s="174"/>
      <c r="H279" s="174">
        <v>0</v>
      </c>
      <c r="I279" s="174">
        <f>130-15.575</f>
        <v>114.425</v>
      </c>
      <c r="J279" s="86"/>
      <c r="K279" s="291"/>
      <c r="L279" s="361"/>
    </row>
    <row r="280" spans="1:12" s="22" customFormat="1" ht="14.25">
      <c r="A280" s="308"/>
      <c r="B280" s="308"/>
      <c r="C280" s="131">
        <v>2020</v>
      </c>
      <c r="D280" s="126">
        <v>0</v>
      </c>
      <c r="E280" s="126">
        <v>0</v>
      </c>
      <c r="F280" s="126"/>
      <c r="G280" s="126"/>
      <c r="H280" s="126">
        <v>0</v>
      </c>
      <c r="I280" s="126">
        <v>0</v>
      </c>
      <c r="J280" s="86"/>
      <c r="K280" s="291"/>
      <c r="L280" s="361"/>
    </row>
    <row r="281" spans="1:12" s="22" customFormat="1" ht="14.25">
      <c r="A281" s="308"/>
      <c r="B281" s="308"/>
      <c r="C281" s="131">
        <v>2021</v>
      </c>
      <c r="D281" s="126">
        <v>0</v>
      </c>
      <c r="E281" s="126">
        <v>0</v>
      </c>
      <c r="F281" s="126"/>
      <c r="G281" s="126"/>
      <c r="H281" s="126">
        <v>0</v>
      </c>
      <c r="I281" s="126">
        <v>0</v>
      </c>
      <c r="J281" s="86"/>
      <c r="K281" s="292"/>
      <c r="L281" s="361"/>
    </row>
    <row r="282" spans="1:12" s="22" customFormat="1" ht="14.25">
      <c r="A282" s="309"/>
      <c r="B282" s="309"/>
      <c r="C282" s="221">
        <v>2022</v>
      </c>
      <c r="D282" s="222">
        <v>0</v>
      </c>
      <c r="E282" s="222"/>
      <c r="F282" s="222"/>
      <c r="G282" s="222"/>
      <c r="H282" s="222"/>
      <c r="I282" s="222">
        <v>0</v>
      </c>
      <c r="J282" s="86"/>
      <c r="K282" s="196"/>
      <c r="L282" s="361"/>
    </row>
    <row r="283" spans="1:12" s="22" customFormat="1" ht="15" customHeight="1">
      <c r="A283" s="307" t="s">
        <v>239</v>
      </c>
      <c r="B283" s="307" t="s">
        <v>242</v>
      </c>
      <c r="C283" s="131">
        <v>2017</v>
      </c>
      <c r="D283" s="126">
        <v>0</v>
      </c>
      <c r="E283" s="126">
        <v>0</v>
      </c>
      <c r="F283" s="126"/>
      <c r="G283" s="126"/>
      <c r="H283" s="126">
        <v>0</v>
      </c>
      <c r="I283" s="126">
        <v>0</v>
      </c>
      <c r="J283" s="86"/>
      <c r="K283" s="290" t="s">
        <v>255</v>
      </c>
      <c r="L283" s="361"/>
    </row>
    <row r="284" spans="1:12" s="22" customFormat="1" ht="14.25">
      <c r="A284" s="308"/>
      <c r="B284" s="308"/>
      <c r="C284" s="131">
        <v>2018</v>
      </c>
      <c r="D284" s="126">
        <v>0</v>
      </c>
      <c r="E284" s="126">
        <v>0</v>
      </c>
      <c r="F284" s="126"/>
      <c r="G284" s="126"/>
      <c r="H284" s="126">
        <v>0</v>
      </c>
      <c r="I284" s="126">
        <v>0</v>
      </c>
      <c r="J284" s="86"/>
      <c r="K284" s="291"/>
      <c r="L284" s="361"/>
    </row>
    <row r="285" spans="1:12" s="22" customFormat="1" ht="14.25">
      <c r="A285" s="308"/>
      <c r="B285" s="308"/>
      <c r="C285" s="173">
        <v>2019</v>
      </c>
      <c r="D285" s="174">
        <f>I285</f>
        <v>210</v>
      </c>
      <c r="E285" s="174">
        <v>0</v>
      </c>
      <c r="F285" s="174"/>
      <c r="G285" s="174"/>
      <c r="H285" s="174">
        <v>0</v>
      </c>
      <c r="I285" s="174">
        <v>210</v>
      </c>
      <c r="J285" s="175"/>
      <c r="K285" s="291"/>
      <c r="L285" s="361"/>
    </row>
    <row r="286" spans="1:12" s="22" customFormat="1" ht="14.25">
      <c r="A286" s="308"/>
      <c r="B286" s="308"/>
      <c r="C286" s="131">
        <v>2020</v>
      </c>
      <c r="D286" s="126">
        <v>0</v>
      </c>
      <c r="E286" s="126">
        <v>0</v>
      </c>
      <c r="F286" s="126"/>
      <c r="G286" s="126"/>
      <c r="H286" s="126">
        <v>0</v>
      </c>
      <c r="I286" s="126">
        <v>0</v>
      </c>
      <c r="J286" s="86"/>
      <c r="K286" s="291"/>
      <c r="L286" s="361"/>
    </row>
    <row r="287" spans="1:12" s="22" customFormat="1" ht="22.5" customHeight="1">
      <c r="A287" s="308"/>
      <c r="B287" s="308"/>
      <c r="C287" s="131">
        <v>2021</v>
      </c>
      <c r="D287" s="126">
        <v>0</v>
      </c>
      <c r="E287" s="126">
        <v>0</v>
      </c>
      <c r="F287" s="126"/>
      <c r="G287" s="126"/>
      <c r="H287" s="126">
        <v>0</v>
      </c>
      <c r="I287" s="126">
        <v>0</v>
      </c>
      <c r="J287" s="86"/>
      <c r="K287" s="292"/>
      <c r="L287" s="361"/>
    </row>
    <row r="288" spans="1:12" s="22" customFormat="1" ht="22.5" customHeight="1">
      <c r="A288" s="309"/>
      <c r="B288" s="309"/>
      <c r="C288" s="221">
        <v>2022</v>
      </c>
      <c r="D288" s="222">
        <v>0</v>
      </c>
      <c r="E288" s="222"/>
      <c r="F288" s="222"/>
      <c r="G288" s="222"/>
      <c r="H288" s="222"/>
      <c r="I288" s="222">
        <v>0</v>
      </c>
      <c r="J288" s="86"/>
      <c r="K288" s="197"/>
      <c r="L288" s="361"/>
    </row>
    <row r="289" spans="1:12" s="22" customFormat="1" ht="15" customHeight="1">
      <c r="A289" s="307" t="s">
        <v>240</v>
      </c>
      <c r="B289" s="287" t="s">
        <v>274</v>
      </c>
      <c r="C289" s="131">
        <v>2017</v>
      </c>
      <c r="D289" s="126">
        <v>0</v>
      </c>
      <c r="E289" s="126">
        <v>0</v>
      </c>
      <c r="F289" s="126"/>
      <c r="G289" s="126"/>
      <c r="H289" s="126">
        <v>0</v>
      </c>
      <c r="I289" s="126">
        <v>0</v>
      </c>
      <c r="J289" s="86"/>
      <c r="K289" s="127"/>
      <c r="L289" s="361"/>
    </row>
    <row r="290" spans="1:12" s="22" customFormat="1" ht="15" customHeight="1">
      <c r="A290" s="308"/>
      <c r="B290" s="288"/>
      <c r="C290" s="131">
        <v>2018</v>
      </c>
      <c r="D290" s="126">
        <v>0</v>
      </c>
      <c r="E290" s="126">
        <v>0</v>
      </c>
      <c r="F290" s="126"/>
      <c r="G290" s="126"/>
      <c r="H290" s="126">
        <v>0</v>
      </c>
      <c r="I290" s="126">
        <v>0</v>
      </c>
      <c r="J290" s="86"/>
      <c r="K290" s="127"/>
      <c r="L290" s="361"/>
    </row>
    <row r="291" spans="1:12" s="22" customFormat="1" ht="17.25" customHeight="1">
      <c r="A291" s="308"/>
      <c r="B291" s="288"/>
      <c r="C291" s="173">
        <v>2019</v>
      </c>
      <c r="D291" s="174">
        <f>I291</f>
        <v>999.607</v>
      </c>
      <c r="E291" s="174">
        <v>0</v>
      </c>
      <c r="F291" s="174"/>
      <c r="G291" s="174"/>
      <c r="H291" s="174">
        <v>0</v>
      </c>
      <c r="I291" s="174">
        <f>809.885+190.115-0.393</f>
        <v>999.607</v>
      </c>
      <c r="J291" s="175"/>
      <c r="K291" s="127" t="s">
        <v>57</v>
      </c>
      <c r="L291" s="361"/>
    </row>
    <row r="292" spans="1:12" s="22" customFormat="1" ht="19.5" customHeight="1">
      <c r="A292" s="308"/>
      <c r="B292" s="288"/>
      <c r="C292" s="131">
        <v>2020</v>
      </c>
      <c r="D292" s="126">
        <v>0</v>
      </c>
      <c r="E292" s="126">
        <v>0</v>
      </c>
      <c r="F292" s="126"/>
      <c r="G292" s="126"/>
      <c r="H292" s="126">
        <v>0</v>
      </c>
      <c r="I292" s="126">
        <v>0</v>
      </c>
      <c r="J292" s="86"/>
      <c r="K292" s="127"/>
      <c r="L292" s="361"/>
    </row>
    <row r="293" spans="1:12" s="22" customFormat="1" ht="17.25" customHeight="1">
      <c r="A293" s="308"/>
      <c r="B293" s="288"/>
      <c r="C293" s="131">
        <v>2021</v>
      </c>
      <c r="D293" s="126">
        <v>0</v>
      </c>
      <c r="E293" s="126">
        <v>0</v>
      </c>
      <c r="F293" s="126"/>
      <c r="G293" s="126"/>
      <c r="H293" s="126">
        <v>0</v>
      </c>
      <c r="I293" s="126">
        <v>0</v>
      </c>
      <c r="J293" s="86"/>
      <c r="K293" s="127"/>
      <c r="L293" s="361"/>
    </row>
    <row r="294" spans="1:12" s="22" customFormat="1" ht="17.25" customHeight="1">
      <c r="A294" s="309"/>
      <c r="B294" s="289"/>
      <c r="C294" s="221">
        <v>2022</v>
      </c>
      <c r="D294" s="222">
        <v>0</v>
      </c>
      <c r="E294" s="222"/>
      <c r="F294" s="222"/>
      <c r="G294" s="222"/>
      <c r="H294" s="222"/>
      <c r="I294" s="222">
        <v>0</v>
      </c>
      <c r="J294" s="86"/>
      <c r="K294" s="197"/>
      <c r="L294" s="361"/>
    </row>
    <row r="295" spans="1:12" s="22" customFormat="1" ht="17.25" customHeight="1">
      <c r="A295" s="307" t="s">
        <v>246</v>
      </c>
      <c r="B295" s="287" t="s">
        <v>285</v>
      </c>
      <c r="C295" s="131">
        <v>2017</v>
      </c>
      <c r="D295" s="126">
        <v>0</v>
      </c>
      <c r="E295" s="126">
        <v>0</v>
      </c>
      <c r="F295" s="126"/>
      <c r="G295" s="126"/>
      <c r="H295" s="126">
        <v>0</v>
      </c>
      <c r="I295" s="126">
        <v>0</v>
      </c>
      <c r="J295" s="86"/>
      <c r="K295" s="127"/>
      <c r="L295" s="361"/>
    </row>
    <row r="296" spans="1:12" s="22" customFormat="1" ht="17.25" customHeight="1">
      <c r="A296" s="308"/>
      <c r="B296" s="288"/>
      <c r="C296" s="131">
        <v>2018</v>
      </c>
      <c r="D296" s="126">
        <v>0</v>
      </c>
      <c r="E296" s="126">
        <v>0</v>
      </c>
      <c r="F296" s="126"/>
      <c r="G296" s="126"/>
      <c r="H296" s="126">
        <v>0</v>
      </c>
      <c r="I296" s="126">
        <v>0</v>
      </c>
      <c r="J296" s="86"/>
      <c r="K296" s="127"/>
      <c r="L296" s="361"/>
    </row>
    <row r="297" spans="1:12" s="22" customFormat="1" ht="17.25" customHeight="1">
      <c r="A297" s="308"/>
      <c r="B297" s="288"/>
      <c r="C297" s="173">
        <v>2019</v>
      </c>
      <c r="D297" s="174">
        <f>I297</f>
        <v>920.73976</v>
      </c>
      <c r="E297" s="174">
        <v>0</v>
      </c>
      <c r="F297" s="174"/>
      <c r="G297" s="174"/>
      <c r="H297" s="174">
        <v>0</v>
      </c>
      <c r="I297" s="174">
        <v>920.73976</v>
      </c>
      <c r="J297" s="86"/>
      <c r="K297" s="162" t="s">
        <v>252</v>
      </c>
      <c r="L297" s="361"/>
    </row>
    <row r="298" spans="1:12" s="22" customFormat="1" ht="17.25" customHeight="1">
      <c r="A298" s="308"/>
      <c r="B298" s="288"/>
      <c r="C298" s="131">
        <v>2020</v>
      </c>
      <c r="D298" s="126">
        <v>0</v>
      </c>
      <c r="E298" s="126">
        <v>0</v>
      </c>
      <c r="F298" s="126"/>
      <c r="G298" s="126"/>
      <c r="H298" s="126">
        <v>0</v>
      </c>
      <c r="I298" s="126">
        <v>0</v>
      </c>
      <c r="J298" s="86"/>
      <c r="K298" s="127"/>
      <c r="L298" s="361"/>
    </row>
    <row r="299" spans="1:12" s="22" customFormat="1" ht="17.25" customHeight="1">
      <c r="A299" s="308"/>
      <c r="B299" s="288"/>
      <c r="C299" s="131">
        <v>2021</v>
      </c>
      <c r="D299" s="126">
        <v>0</v>
      </c>
      <c r="E299" s="126">
        <v>0</v>
      </c>
      <c r="F299" s="126"/>
      <c r="G299" s="126"/>
      <c r="H299" s="126">
        <v>0</v>
      </c>
      <c r="I299" s="126">
        <v>0</v>
      </c>
      <c r="J299" s="86"/>
      <c r="K299" s="127"/>
      <c r="L299" s="361"/>
    </row>
    <row r="300" spans="1:12" s="22" customFormat="1" ht="17.25" customHeight="1">
      <c r="A300" s="309"/>
      <c r="B300" s="289"/>
      <c r="C300" s="221">
        <v>2022</v>
      </c>
      <c r="D300" s="222">
        <v>0</v>
      </c>
      <c r="E300" s="222"/>
      <c r="F300" s="222"/>
      <c r="G300" s="222"/>
      <c r="H300" s="222"/>
      <c r="I300" s="222">
        <v>0</v>
      </c>
      <c r="J300" s="86"/>
      <c r="K300" s="197"/>
      <c r="L300" s="361"/>
    </row>
    <row r="301" spans="1:12" s="22" customFormat="1" ht="17.25" customHeight="1">
      <c r="A301" s="307" t="s">
        <v>253</v>
      </c>
      <c r="B301" s="287" t="s">
        <v>250</v>
      </c>
      <c r="C301" s="131">
        <v>2017</v>
      </c>
      <c r="D301" s="126">
        <v>0</v>
      </c>
      <c r="E301" s="126">
        <v>0</v>
      </c>
      <c r="F301" s="126"/>
      <c r="G301" s="126"/>
      <c r="H301" s="126">
        <v>0</v>
      </c>
      <c r="I301" s="126">
        <v>0</v>
      </c>
      <c r="J301" s="86"/>
      <c r="K301" s="127"/>
      <c r="L301" s="361"/>
    </row>
    <row r="302" spans="1:12" s="22" customFormat="1" ht="17.25" customHeight="1">
      <c r="A302" s="308"/>
      <c r="B302" s="288"/>
      <c r="C302" s="131">
        <v>2018</v>
      </c>
      <c r="D302" s="126">
        <v>0</v>
      </c>
      <c r="E302" s="126">
        <v>0</v>
      </c>
      <c r="F302" s="126"/>
      <c r="G302" s="126"/>
      <c r="H302" s="126">
        <v>0</v>
      </c>
      <c r="I302" s="126">
        <v>0</v>
      </c>
      <c r="J302" s="86"/>
      <c r="K302" s="127"/>
      <c r="L302" s="361"/>
    </row>
    <row r="303" spans="1:12" s="22" customFormat="1" ht="17.25" customHeight="1">
      <c r="A303" s="308"/>
      <c r="B303" s="288"/>
      <c r="C303" s="173">
        <v>2019</v>
      </c>
      <c r="D303" s="174">
        <f>I303</f>
        <v>172.45116</v>
      </c>
      <c r="E303" s="174">
        <v>0</v>
      </c>
      <c r="F303" s="174"/>
      <c r="G303" s="174"/>
      <c r="H303" s="174">
        <v>0</v>
      </c>
      <c r="I303" s="174">
        <v>172.45116</v>
      </c>
      <c r="J303" s="86"/>
      <c r="K303" s="260" t="s">
        <v>244</v>
      </c>
      <c r="L303" s="361"/>
    </row>
    <row r="304" spans="1:12" s="22" customFormat="1" ht="17.25" customHeight="1">
      <c r="A304" s="308"/>
      <c r="B304" s="288"/>
      <c r="C304" s="131">
        <v>2020</v>
      </c>
      <c r="D304" s="126">
        <v>0</v>
      </c>
      <c r="E304" s="126">
        <v>0</v>
      </c>
      <c r="F304" s="126"/>
      <c r="G304" s="126"/>
      <c r="H304" s="126">
        <v>0</v>
      </c>
      <c r="I304" s="126">
        <v>0</v>
      </c>
      <c r="J304" s="86"/>
      <c r="K304" s="127"/>
      <c r="L304" s="361"/>
    </row>
    <row r="305" spans="1:12" s="22" customFormat="1" ht="17.25" customHeight="1">
      <c r="A305" s="308"/>
      <c r="B305" s="288"/>
      <c r="C305" s="131">
        <v>2021</v>
      </c>
      <c r="D305" s="126">
        <v>0</v>
      </c>
      <c r="E305" s="126">
        <v>0</v>
      </c>
      <c r="F305" s="126"/>
      <c r="G305" s="126"/>
      <c r="H305" s="126">
        <v>0</v>
      </c>
      <c r="I305" s="126">
        <v>0</v>
      </c>
      <c r="J305" s="86"/>
      <c r="K305" s="127"/>
      <c r="L305" s="361"/>
    </row>
    <row r="306" spans="1:12" s="22" customFormat="1" ht="17.25" customHeight="1">
      <c r="A306" s="309"/>
      <c r="B306" s="289"/>
      <c r="C306" s="221">
        <v>2022</v>
      </c>
      <c r="D306" s="222">
        <v>0</v>
      </c>
      <c r="E306" s="222"/>
      <c r="F306" s="222"/>
      <c r="G306" s="222"/>
      <c r="H306" s="222"/>
      <c r="I306" s="222">
        <v>0</v>
      </c>
      <c r="J306" s="86"/>
      <c r="K306" s="197"/>
      <c r="L306" s="361"/>
    </row>
    <row r="307" spans="1:12" s="22" customFormat="1" ht="17.25" customHeight="1">
      <c r="A307" s="307" t="s">
        <v>247</v>
      </c>
      <c r="B307" s="287" t="s">
        <v>286</v>
      </c>
      <c r="C307" s="163">
        <v>2017</v>
      </c>
      <c r="D307" s="161">
        <v>0</v>
      </c>
      <c r="E307" s="161">
        <v>0</v>
      </c>
      <c r="F307" s="161"/>
      <c r="G307" s="161"/>
      <c r="H307" s="161">
        <v>0</v>
      </c>
      <c r="I307" s="161">
        <v>0</v>
      </c>
      <c r="J307" s="86"/>
      <c r="K307" s="162"/>
      <c r="L307" s="361"/>
    </row>
    <row r="308" spans="1:12" s="22" customFormat="1" ht="17.25" customHeight="1">
      <c r="A308" s="308"/>
      <c r="B308" s="288"/>
      <c r="C308" s="163">
        <v>2018</v>
      </c>
      <c r="D308" s="161">
        <v>0</v>
      </c>
      <c r="E308" s="161">
        <v>0</v>
      </c>
      <c r="F308" s="161"/>
      <c r="G308" s="161"/>
      <c r="H308" s="161">
        <v>0</v>
      </c>
      <c r="I308" s="161">
        <v>0</v>
      </c>
      <c r="J308" s="86"/>
      <c r="K308" s="162"/>
      <c r="L308" s="361"/>
    </row>
    <row r="309" spans="1:12" s="22" customFormat="1" ht="17.25" customHeight="1">
      <c r="A309" s="308"/>
      <c r="B309" s="288"/>
      <c r="C309" s="173">
        <v>2019</v>
      </c>
      <c r="D309" s="174">
        <f>I309</f>
        <v>549.981</v>
      </c>
      <c r="E309" s="174">
        <v>0</v>
      </c>
      <c r="F309" s="174"/>
      <c r="G309" s="174"/>
      <c r="H309" s="174">
        <v>0</v>
      </c>
      <c r="I309" s="174">
        <v>549.981</v>
      </c>
      <c r="J309" s="86"/>
      <c r="K309" s="258" t="s">
        <v>153</v>
      </c>
      <c r="L309" s="361"/>
    </row>
    <row r="310" spans="1:12" s="22" customFormat="1" ht="17.25" customHeight="1">
      <c r="A310" s="308"/>
      <c r="B310" s="288"/>
      <c r="C310" s="163">
        <v>2020</v>
      </c>
      <c r="D310" s="161">
        <v>0</v>
      </c>
      <c r="E310" s="161">
        <v>0</v>
      </c>
      <c r="F310" s="161"/>
      <c r="G310" s="161"/>
      <c r="H310" s="161">
        <v>0</v>
      </c>
      <c r="I310" s="161">
        <v>0</v>
      </c>
      <c r="J310" s="86"/>
      <c r="K310" s="162"/>
      <c r="L310" s="361"/>
    </row>
    <row r="311" spans="1:12" s="22" customFormat="1" ht="17.25" customHeight="1">
      <c r="A311" s="308"/>
      <c r="B311" s="288"/>
      <c r="C311" s="163">
        <v>2021</v>
      </c>
      <c r="D311" s="161">
        <v>0</v>
      </c>
      <c r="E311" s="161">
        <v>0</v>
      </c>
      <c r="F311" s="161"/>
      <c r="G311" s="161"/>
      <c r="H311" s="161">
        <v>0</v>
      </c>
      <c r="I311" s="161">
        <v>0</v>
      </c>
      <c r="J311" s="86"/>
      <c r="K311" s="162"/>
      <c r="L311" s="361"/>
    </row>
    <row r="312" spans="1:12" s="22" customFormat="1" ht="17.25" customHeight="1">
      <c r="A312" s="309"/>
      <c r="B312" s="289"/>
      <c r="C312" s="221">
        <v>2022</v>
      </c>
      <c r="D312" s="222">
        <v>0</v>
      </c>
      <c r="E312" s="222"/>
      <c r="F312" s="222"/>
      <c r="G312" s="222"/>
      <c r="H312" s="222"/>
      <c r="I312" s="222">
        <v>0</v>
      </c>
      <c r="J312" s="86"/>
      <c r="K312" s="197"/>
      <c r="L312" s="361"/>
    </row>
    <row r="313" spans="1:12" s="22" customFormat="1" ht="17.25" customHeight="1">
      <c r="A313" s="307" t="s">
        <v>262</v>
      </c>
      <c r="B313" s="287" t="s">
        <v>256</v>
      </c>
      <c r="C313" s="163">
        <v>2017</v>
      </c>
      <c r="D313" s="161">
        <v>0</v>
      </c>
      <c r="E313" s="161">
        <v>0</v>
      </c>
      <c r="F313" s="161"/>
      <c r="G313" s="161"/>
      <c r="H313" s="161">
        <v>0</v>
      </c>
      <c r="I313" s="161">
        <v>0</v>
      </c>
      <c r="J313" s="86"/>
      <c r="K313" s="162"/>
      <c r="L313" s="361"/>
    </row>
    <row r="314" spans="1:12" s="22" customFormat="1" ht="17.25" customHeight="1">
      <c r="A314" s="308"/>
      <c r="B314" s="288"/>
      <c r="C314" s="163">
        <v>2018</v>
      </c>
      <c r="D314" s="161">
        <v>0</v>
      </c>
      <c r="E314" s="161">
        <v>0</v>
      </c>
      <c r="F314" s="161"/>
      <c r="G314" s="161"/>
      <c r="H314" s="161">
        <v>0</v>
      </c>
      <c r="I314" s="161">
        <v>0</v>
      </c>
      <c r="J314" s="86"/>
      <c r="K314" s="162"/>
      <c r="L314" s="361"/>
    </row>
    <row r="315" spans="1:12" s="22" customFormat="1" ht="17.25" customHeight="1">
      <c r="A315" s="308"/>
      <c r="B315" s="288"/>
      <c r="C315" s="173">
        <v>2019</v>
      </c>
      <c r="D315" s="174">
        <f>I315</f>
        <v>112.185</v>
      </c>
      <c r="E315" s="174">
        <v>0</v>
      </c>
      <c r="F315" s="174"/>
      <c r="G315" s="174"/>
      <c r="H315" s="174">
        <v>0</v>
      </c>
      <c r="I315" s="174">
        <f>88.345+23.84</f>
        <v>112.185</v>
      </c>
      <c r="J315" s="86"/>
      <c r="K315" s="169" t="s">
        <v>248</v>
      </c>
      <c r="L315" s="361"/>
    </row>
    <row r="316" spans="1:12" s="22" customFormat="1" ht="17.25" customHeight="1">
      <c r="A316" s="308"/>
      <c r="B316" s="288"/>
      <c r="C316" s="163">
        <v>2020</v>
      </c>
      <c r="D316" s="161">
        <v>0</v>
      </c>
      <c r="E316" s="161">
        <v>0</v>
      </c>
      <c r="F316" s="161"/>
      <c r="G316" s="161"/>
      <c r="H316" s="161">
        <v>0</v>
      </c>
      <c r="I316" s="161">
        <v>0</v>
      </c>
      <c r="J316" s="86"/>
      <c r="K316" s="162"/>
      <c r="L316" s="361"/>
    </row>
    <row r="317" spans="1:12" s="22" customFormat="1" ht="17.25" customHeight="1">
      <c r="A317" s="308"/>
      <c r="B317" s="288"/>
      <c r="C317" s="163">
        <v>2021</v>
      </c>
      <c r="D317" s="161">
        <v>0</v>
      </c>
      <c r="E317" s="161">
        <v>0</v>
      </c>
      <c r="F317" s="161"/>
      <c r="G317" s="161"/>
      <c r="H317" s="161">
        <v>0</v>
      </c>
      <c r="I317" s="161">
        <v>0</v>
      </c>
      <c r="J317" s="86"/>
      <c r="K317" s="162"/>
      <c r="L317" s="361"/>
    </row>
    <row r="318" spans="1:12" s="22" customFormat="1" ht="17.25" customHeight="1">
      <c r="A318" s="309"/>
      <c r="B318" s="289"/>
      <c r="C318" s="221">
        <v>2022</v>
      </c>
      <c r="D318" s="222">
        <v>0</v>
      </c>
      <c r="E318" s="222"/>
      <c r="F318" s="222"/>
      <c r="G318" s="222"/>
      <c r="H318" s="222"/>
      <c r="I318" s="222">
        <v>0</v>
      </c>
      <c r="J318" s="86"/>
      <c r="K318" s="197"/>
      <c r="L318" s="361"/>
    </row>
    <row r="319" spans="1:12" s="22" customFormat="1" ht="17.25" customHeight="1">
      <c r="A319" s="307" t="s">
        <v>263</v>
      </c>
      <c r="B319" s="287" t="s">
        <v>257</v>
      </c>
      <c r="C319" s="167">
        <v>2017</v>
      </c>
      <c r="D319" s="166">
        <v>0</v>
      </c>
      <c r="E319" s="166">
        <v>0</v>
      </c>
      <c r="F319" s="166"/>
      <c r="G319" s="166"/>
      <c r="H319" s="166">
        <v>0</v>
      </c>
      <c r="I319" s="166">
        <v>0</v>
      </c>
      <c r="J319" s="86"/>
      <c r="K319" s="169"/>
      <c r="L319" s="361"/>
    </row>
    <row r="320" spans="1:12" s="22" customFormat="1" ht="17.25" customHeight="1">
      <c r="A320" s="308"/>
      <c r="B320" s="288"/>
      <c r="C320" s="167">
        <v>2018</v>
      </c>
      <c r="D320" s="166">
        <v>0</v>
      </c>
      <c r="E320" s="166">
        <v>0</v>
      </c>
      <c r="F320" s="166"/>
      <c r="G320" s="166"/>
      <c r="H320" s="166">
        <v>0</v>
      </c>
      <c r="I320" s="166">
        <v>0</v>
      </c>
      <c r="J320" s="86"/>
      <c r="K320" s="169"/>
      <c r="L320" s="361"/>
    </row>
    <row r="321" spans="1:12" s="22" customFormat="1" ht="17.25" customHeight="1">
      <c r="A321" s="308"/>
      <c r="B321" s="288"/>
      <c r="C321" s="173">
        <v>2019</v>
      </c>
      <c r="D321" s="174">
        <f>I321</f>
        <v>399</v>
      </c>
      <c r="E321" s="174">
        <v>0</v>
      </c>
      <c r="F321" s="174"/>
      <c r="G321" s="174"/>
      <c r="H321" s="174">
        <v>0</v>
      </c>
      <c r="I321" s="174">
        <v>399</v>
      </c>
      <c r="J321" s="86"/>
      <c r="K321" s="169" t="s">
        <v>173</v>
      </c>
      <c r="L321" s="361"/>
    </row>
    <row r="322" spans="1:12" s="22" customFormat="1" ht="17.25" customHeight="1">
      <c r="A322" s="308"/>
      <c r="B322" s="288"/>
      <c r="C322" s="167">
        <v>2020</v>
      </c>
      <c r="D322" s="166">
        <v>0</v>
      </c>
      <c r="E322" s="166">
        <v>0</v>
      </c>
      <c r="F322" s="166"/>
      <c r="G322" s="166"/>
      <c r="H322" s="166">
        <v>0</v>
      </c>
      <c r="I322" s="166">
        <v>0</v>
      </c>
      <c r="J322" s="86"/>
      <c r="K322" s="169"/>
      <c r="L322" s="361"/>
    </row>
    <row r="323" spans="1:12" s="22" customFormat="1" ht="17.25" customHeight="1">
      <c r="A323" s="308"/>
      <c r="B323" s="288"/>
      <c r="C323" s="167">
        <v>2021</v>
      </c>
      <c r="D323" s="166">
        <v>0</v>
      </c>
      <c r="E323" s="166">
        <v>0</v>
      </c>
      <c r="F323" s="166"/>
      <c r="G323" s="166"/>
      <c r="H323" s="166">
        <v>0</v>
      </c>
      <c r="I323" s="166">
        <v>0</v>
      </c>
      <c r="J323" s="86"/>
      <c r="K323" s="169"/>
      <c r="L323" s="361"/>
    </row>
    <row r="324" spans="1:12" s="22" customFormat="1" ht="17.25" customHeight="1">
      <c r="A324" s="309"/>
      <c r="B324" s="289"/>
      <c r="C324" s="221">
        <v>2022</v>
      </c>
      <c r="D324" s="222">
        <v>0</v>
      </c>
      <c r="E324" s="222"/>
      <c r="F324" s="222"/>
      <c r="G324" s="222"/>
      <c r="H324" s="222"/>
      <c r="I324" s="222">
        <v>0</v>
      </c>
      <c r="J324" s="86"/>
      <c r="K324" s="197"/>
      <c r="L324" s="361"/>
    </row>
    <row r="325" spans="1:12" s="22" customFormat="1" ht="17.25" customHeight="1">
      <c r="A325" s="307" t="s">
        <v>264</v>
      </c>
      <c r="B325" s="287" t="s">
        <v>287</v>
      </c>
      <c r="C325" s="167">
        <v>2017</v>
      </c>
      <c r="D325" s="166">
        <v>0</v>
      </c>
      <c r="E325" s="166">
        <v>0</v>
      </c>
      <c r="F325" s="166"/>
      <c r="G325" s="166"/>
      <c r="H325" s="166">
        <v>0</v>
      </c>
      <c r="I325" s="166">
        <v>0</v>
      </c>
      <c r="J325" s="86"/>
      <c r="K325" s="169"/>
      <c r="L325" s="361"/>
    </row>
    <row r="326" spans="1:12" s="22" customFormat="1" ht="17.25" customHeight="1">
      <c r="A326" s="308"/>
      <c r="B326" s="288"/>
      <c r="C326" s="167">
        <v>2018</v>
      </c>
      <c r="D326" s="166">
        <v>0</v>
      </c>
      <c r="E326" s="166">
        <v>0</v>
      </c>
      <c r="F326" s="166"/>
      <c r="G326" s="166"/>
      <c r="H326" s="166">
        <v>0</v>
      </c>
      <c r="I326" s="166">
        <v>0</v>
      </c>
      <c r="J326" s="86"/>
      <c r="K326" s="169"/>
      <c r="L326" s="361"/>
    </row>
    <row r="327" spans="1:12" s="22" customFormat="1" ht="17.25" customHeight="1">
      <c r="A327" s="308"/>
      <c r="B327" s="288"/>
      <c r="C327" s="173">
        <v>2019</v>
      </c>
      <c r="D327" s="174">
        <f>I327</f>
        <v>457.9</v>
      </c>
      <c r="E327" s="174">
        <v>0</v>
      </c>
      <c r="F327" s="174"/>
      <c r="G327" s="174"/>
      <c r="H327" s="174">
        <v>0</v>
      </c>
      <c r="I327" s="174">
        <f>574.4-90-26.5</f>
        <v>457.9</v>
      </c>
      <c r="J327" s="86"/>
      <c r="K327" s="169" t="s">
        <v>51</v>
      </c>
      <c r="L327" s="361"/>
    </row>
    <row r="328" spans="1:12" s="22" customFormat="1" ht="17.25" customHeight="1">
      <c r="A328" s="308"/>
      <c r="B328" s="288"/>
      <c r="C328" s="167">
        <v>2020</v>
      </c>
      <c r="D328" s="166">
        <v>0</v>
      </c>
      <c r="E328" s="166">
        <v>0</v>
      </c>
      <c r="F328" s="166"/>
      <c r="G328" s="166"/>
      <c r="H328" s="166">
        <v>0</v>
      </c>
      <c r="I328" s="166">
        <v>0</v>
      </c>
      <c r="J328" s="86"/>
      <c r="K328" s="169"/>
      <c r="L328" s="361"/>
    </row>
    <row r="329" spans="1:12" s="22" customFormat="1" ht="17.25" customHeight="1">
      <c r="A329" s="308"/>
      <c r="B329" s="288"/>
      <c r="C329" s="167">
        <v>2021</v>
      </c>
      <c r="D329" s="166">
        <v>0</v>
      </c>
      <c r="E329" s="166">
        <v>0</v>
      </c>
      <c r="F329" s="166"/>
      <c r="G329" s="166"/>
      <c r="H329" s="166">
        <v>0</v>
      </c>
      <c r="I329" s="166">
        <v>0</v>
      </c>
      <c r="J329" s="86"/>
      <c r="K329" s="169"/>
      <c r="L329" s="361"/>
    </row>
    <row r="330" spans="1:12" s="22" customFormat="1" ht="17.25" customHeight="1">
      <c r="A330" s="309"/>
      <c r="B330" s="289"/>
      <c r="C330" s="221">
        <v>2022</v>
      </c>
      <c r="D330" s="222">
        <v>0</v>
      </c>
      <c r="E330" s="222"/>
      <c r="F330" s="222"/>
      <c r="G330" s="222"/>
      <c r="H330" s="222"/>
      <c r="I330" s="222">
        <v>0</v>
      </c>
      <c r="J330" s="86"/>
      <c r="K330" s="197"/>
      <c r="L330" s="361"/>
    </row>
    <row r="331" spans="1:12" s="22" customFormat="1" ht="17.25" customHeight="1">
      <c r="A331" s="307" t="s">
        <v>265</v>
      </c>
      <c r="B331" s="287" t="s">
        <v>276</v>
      </c>
      <c r="C331" s="167">
        <v>2017</v>
      </c>
      <c r="D331" s="166">
        <v>0</v>
      </c>
      <c r="E331" s="166">
        <v>0</v>
      </c>
      <c r="F331" s="166"/>
      <c r="G331" s="166"/>
      <c r="H331" s="166">
        <v>0</v>
      </c>
      <c r="I331" s="166">
        <v>0</v>
      </c>
      <c r="J331" s="86"/>
      <c r="K331" s="169"/>
      <c r="L331" s="361"/>
    </row>
    <row r="332" spans="1:12" s="22" customFormat="1" ht="17.25" customHeight="1">
      <c r="A332" s="308"/>
      <c r="B332" s="288"/>
      <c r="C332" s="167">
        <v>2018</v>
      </c>
      <c r="D332" s="166">
        <v>0</v>
      </c>
      <c r="E332" s="166">
        <v>0</v>
      </c>
      <c r="F332" s="166"/>
      <c r="G332" s="166"/>
      <c r="H332" s="166">
        <v>0</v>
      </c>
      <c r="I332" s="166">
        <v>0</v>
      </c>
      <c r="J332" s="86"/>
      <c r="K332" s="169"/>
      <c r="L332" s="361"/>
    </row>
    <row r="333" spans="1:12" s="22" customFormat="1" ht="17.25" customHeight="1">
      <c r="A333" s="308"/>
      <c r="B333" s="288"/>
      <c r="C333" s="173">
        <v>2019</v>
      </c>
      <c r="D333" s="174">
        <f>I333</f>
        <v>273.154</v>
      </c>
      <c r="E333" s="174"/>
      <c r="F333" s="174"/>
      <c r="G333" s="174"/>
      <c r="H333" s="174"/>
      <c r="I333" s="174">
        <v>273.154</v>
      </c>
      <c r="J333" s="86"/>
      <c r="K333" s="169" t="s">
        <v>258</v>
      </c>
      <c r="L333" s="361"/>
    </row>
    <row r="334" spans="1:12" s="22" customFormat="1" ht="17.25" customHeight="1">
      <c r="A334" s="308"/>
      <c r="B334" s="288"/>
      <c r="C334" s="167">
        <v>2020</v>
      </c>
      <c r="D334" s="166">
        <v>0</v>
      </c>
      <c r="E334" s="166">
        <v>0</v>
      </c>
      <c r="F334" s="166"/>
      <c r="G334" s="166"/>
      <c r="H334" s="166">
        <v>0</v>
      </c>
      <c r="I334" s="166">
        <v>0</v>
      </c>
      <c r="J334" s="86"/>
      <c r="K334" s="169"/>
      <c r="L334" s="361"/>
    </row>
    <row r="335" spans="1:12" s="22" customFormat="1" ht="17.25" customHeight="1">
      <c r="A335" s="308"/>
      <c r="B335" s="288"/>
      <c r="C335" s="167">
        <v>2021</v>
      </c>
      <c r="D335" s="166">
        <v>0</v>
      </c>
      <c r="E335" s="166">
        <v>0</v>
      </c>
      <c r="F335" s="166"/>
      <c r="G335" s="166"/>
      <c r="H335" s="166">
        <v>0</v>
      </c>
      <c r="I335" s="166">
        <v>0</v>
      </c>
      <c r="J335" s="86"/>
      <c r="K335" s="169"/>
      <c r="L335" s="361"/>
    </row>
    <row r="336" spans="1:12" s="22" customFormat="1" ht="17.25" customHeight="1">
      <c r="A336" s="309"/>
      <c r="B336" s="289"/>
      <c r="C336" s="221">
        <v>2022</v>
      </c>
      <c r="D336" s="222">
        <v>0</v>
      </c>
      <c r="E336" s="222"/>
      <c r="F336" s="222"/>
      <c r="G336" s="222"/>
      <c r="H336" s="222"/>
      <c r="I336" s="222">
        <v>0</v>
      </c>
      <c r="J336" s="86"/>
      <c r="K336" s="197"/>
      <c r="L336" s="361"/>
    </row>
    <row r="337" spans="1:12" s="22" customFormat="1" ht="17.25" customHeight="1">
      <c r="A337" s="307" t="s">
        <v>266</v>
      </c>
      <c r="B337" s="287" t="s">
        <v>277</v>
      </c>
      <c r="C337" s="167">
        <v>2017</v>
      </c>
      <c r="D337" s="166">
        <v>0</v>
      </c>
      <c r="E337" s="166">
        <v>0</v>
      </c>
      <c r="F337" s="166"/>
      <c r="G337" s="166"/>
      <c r="H337" s="166">
        <v>0</v>
      </c>
      <c r="I337" s="166">
        <v>0</v>
      </c>
      <c r="J337" s="86"/>
      <c r="K337" s="169"/>
      <c r="L337" s="361"/>
    </row>
    <row r="338" spans="1:12" s="22" customFormat="1" ht="17.25" customHeight="1">
      <c r="A338" s="308"/>
      <c r="B338" s="288"/>
      <c r="C338" s="167">
        <v>2018</v>
      </c>
      <c r="D338" s="166">
        <v>0</v>
      </c>
      <c r="E338" s="166">
        <v>0</v>
      </c>
      <c r="F338" s="166"/>
      <c r="G338" s="166"/>
      <c r="H338" s="166">
        <v>0</v>
      </c>
      <c r="I338" s="166">
        <v>0</v>
      </c>
      <c r="J338" s="86"/>
      <c r="K338" s="169"/>
      <c r="L338" s="361"/>
    </row>
    <row r="339" spans="1:12" s="22" customFormat="1" ht="17.25" customHeight="1">
      <c r="A339" s="308"/>
      <c r="B339" s="288"/>
      <c r="C339" s="173">
        <v>2019</v>
      </c>
      <c r="D339" s="174">
        <f>I339</f>
        <v>43.896</v>
      </c>
      <c r="E339" s="174"/>
      <c r="F339" s="174"/>
      <c r="G339" s="174"/>
      <c r="H339" s="174"/>
      <c r="I339" s="174">
        <f>60-16.104</f>
        <v>43.896</v>
      </c>
      <c r="J339" s="86"/>
      <c r="K339" s="169" t="s">
        <v>51</v>
      </c>
      <c r="L339" s="361"/>
    </row>
    <row r="340" spans="1:12" s="22" customFormat="1" ht="17.25" customHeight="1">
      <c r="A340" s="308"/>
      <c r="B340" s="288"/>
      <c r="C340" s="167">
        <v>2020</v>
      </c>
      <c r="D340" s="166">
        <v>0</v>
      </c>
      <c r="E340" s="166">
        <v>0</v>
      </c>
      <c r="F340" s="166"/>
      <c r="G340" s="166"/>
      <c r="H340" s="166">
        <v>0</v>
      </c>
      <c r="I340" s="166">
        <v>0</v>
      </c>
      <c r="J340" s="86"/>
      <c r="K340" s="169"/>
      <c r="L340" s="361"/>
    </row>
    <row r="341" spans="1:12" s="22" customFormat="1" ht="17.25" customHeight="1">
      <c r="A341" s="308"/>
      <c r="B341" s="288"/>
      <c r="C341" s="167">
        <v>2021</v>
      </c>
      <c r="D341" s="166">
        <v>0</v>
      </c>
      <c r="E341" s="166">
        <v>0</v>
      </c>
      <c r="F341" s="166"/>
      <c r="G341" s="166"/>
      <c r="H341" s="166">
        <v>0</v>
      </c>
      <c r="I341" s="166">
        <v>0</v>
      </c>
      <c r="J341" s="86"/>
      <c r="K341" s="169"/>
      <c r="L341" s="361"/>
    </row>
    <row r="342" spans="1:12" s="22" customFormat="1" ht="17.25" customHeight="1">
      <c r="A342" s="309"/>
      <c r="B342" s="289"/>
      <c r="C342" s="221">
        <v>2022</v>
      </c>
      <c r="D342" s="222">
        <v>0</v>
      </c>
      <c r="E342" s="222"/>
      <c r="F342" s="222"/>
      <c r="G342" s="222"/>
      <c r="H342" s="222"/>
      <c r="I342" s="222">
        <v>0</v>
      </c>
      <c r="J342" s="86"/>
      <c r="K342" s="197"/>
      <c r="L342" s="361"/>
    </row>
    <row r="343" spans="1:12" s="22" customFormat="1" ht="17.25" customHeight="1">
      <c r="A343" s="307" t="s">
        <v>267</v>
      </c>
      <c r="B343" s="287" t="s">
        <v>288</v>
      </c>
      <c r="C343" s="167">
        <v>2017</v>
      </c>
      <c r="D343" s="166">
        <v>0</v>
      </c>
      <c r="E343" s="166">
        <v>0</v>
      </c>
      <c r="F343" s="166"/>
      <c r="G343" s="166"/>
      <c r="H343" s="166">
        <v>0</v>
      </c>
      <c r="I343" s="166">
        <v>0</v>
      </c>
      <c r="J343" s="86"/>
      <c r="K343" s="169"/>
      <c r="L343" s="361"/>
    </row>
    <row r="344" spans="1:12" s="22" customFormat="1" ht="17.25" customHeight="1">
      <c r="A344" s="308"/>
      <c r="B344" s="288"/>
      <c r="C344" s="167">
        <v>2018</v>
      </c>
      <c r="D344" s="166">
        <v>0</v>
      </c>
      <c r="E344" s="166">
        <v>0</v>
      </c>
      <c r="F344" s="166"/>
      <c r="G344" s="166"/>
      <c r="H344" s="166">
        <v>0</v>
      </c>
      <c r="I344" s="166">
        <v>0</v>
      </c>
      <c r="J344" s="86"/>
      <c r="K344" s="169"/>
      <c r="L344" s="361"/>
    </row>
    <row r="345" spans="1:12" s="22" customFormat="1" ht="17.25" customHeight="1">
      <c r="A345" s="308"/>
      <c r="B345" s="288"/>
      <c r="C345" s="173">
        <v>2019</v>
      </c>
      <c r="D345" s="174">
        <f>I345</f>
        <v>83.94</v>
      </c>
      <c r="E345" s="174"/>
      <c r="F345" s="174"/>
      <c r="G345" s="174"/>
      <c r="H345" s="174"/>
      <c r="I345" s="174">
        <v>83.94</v>
      </c>
      <c r="J345" s="86"/>
      <c r="K345" s="242" t="s">
        <v>173</v>
      </c>
      <c r="L345" s="361"/>
    </row>
    <row r="346" spans="1:12" s="22" customFormat="1" ht="17.25" customHeight="1">
      <c r="A346" s="308"/>
      <c r="B346" s="288"/>
      <c r="C346" s="167">
        <v>2020</v>
      </c>
      <c r="D346" s="166">
        <v>0</v>
      </c>
      <c r="E346" s="166">
        <v>0</v>
      </c>
      <c r="F346" s="166"/>
      <c r="G346" s="166"/>
      <c r="H346" s="166">
        <v>0</v>
      </c>
      <c r="I346" s="166">
        <v>0</v>
      </c>
      <c r="J346" s="86"/>
      <c r="K346" s="169"/>
      <c r="L346" s="361"/>
    </row>
    <row r="347" spans="1:12" s="22" customFormat="1" ht="17.25" customHeight="1">
      <c r="A347" s="308"/>
      <c r="B347" s="288"/>
      <c r="C347" s="167">
        <v>2021</v>
      </c>
      <c r="D347" s="166">
        <v>0</v>
      </c>
      <c r="E347" s="166">
        <v>0</v>
      </c>
      <c r="F347" s="166"/>
      <c r="G347" s="166"/>
      <c r="H347" s="166">
        <v>0</v>
      </c>
      <c r="I347" s="166">
        <v>0</v>
      </c>
      <c r="J347" s="86"/>
      <c r="K347" s="169"/>
      <c r="L347" s="361"/>
    </row>
    <row r="348" spans="1:12" s="22" customFormat="1" ht="17.25" customHeight="1">
      <c r="A348" s="309"/>
      <c r="B348" s="289"/>
      <c r="C348" s="221">
        <v>2022</v>
      </c>
      <c r="D348" s="222">
        <v>0</v>
      </c>
      <c r="E348" s="222"/>
      <c r="F348" s="222"/>
      <c r="G348" s="222"/>
      <c r="H348" s="222"/>
      <c r="I348" s="222">
        <v>0</v>
      </c>
      <c r="J348" s="86"/>
      <c r="K348" s="197"/>
      <c r="L348" s="361"/>
    </row>
    <row r="349" spans="1:12" s="22" customFormat="1" ht="17.25" customHeight="1">
      <c r="A349" s="307" t="s">
        <v>268</v>
      </c>
      <c r="B349" s="287" t="s">
        <v>289</v>
      </c>
      <c r="C349" s="167">
        <v>2017</v>
      </c>
      <c r="D349" s="166">
        <v>0</v>
      </c>
      <c r="E349" s="166">
        <v>0</v>
      </c>
      <c r="F349" s="166"/>
      <c r="G349" s="166"/>
      <c r="H349" s="166">
        <v>0</v>
      </c>
      <c r="I349" s="166">
        <v>0</v>
      </c>
      <c r="J349" s="86"/>
      <c r="K349" s="169"/>
      <c r="L349" s="361"/>
    </row>
    <row r="350" spans="1:12" s="22" customFormat="1" ht="17.25" customHeight="1">
      <c r="A350" s="308"/>
      <c r="B350" s="288"/>
      <c r="C350" s="167">
        <v>2018</v>
      </c>
      <c r="D350" s="166">
        <v>0</v>
      </c>
      <c r="E350" s="166">
        <v>0</v>
      </c>
      <c r="F350" s="166"/>
      <c r="G350" s="166"/>
      <c r="H350" s="166">
        <v>0</v>
      </c>
      <c r="I350" s="166">
        <v>0</v>
      </c>
      <c r="J350" s="86"/>
      <c r="K350" s="169"/>
      <c r="L350" s="361"/>
    </row>
    <row r="351" spans="1:12" s="22" customFormat="1" ht="17.25" customHeight="1">
      <c r="A351" s="308"/>
      <c r="B351" s="288"/>
      <c r="C351" s="173">
        <v>2019</v>
      </c>
      <c r="D351" s="174">
        <f>I351</f>
        <v>319.93</v>
      </c>
      <c r="E351" s="174"/>
      <c r="F351" s="174"/>
      <c r="G351" s="174"/>
      <c r="H351" s="174"/>
      <c r="I351" s="174">
        <f>50+210+100-40-0.07</f>
        <v>319.93</v>
      </c>
      <c r="J351" s="86"/>
      <c r="K351" s="169" t="s">
        <v>255</v>
      </c>
      <c r="L351" s="361"/>
    </row>
    <row r="352" spans="1:12" s="22" customFormat="1" ht="17.25" customHeight="1">
      <c r="A352" s="308"/>
      <c r="B352" s="288"/>
      <c r="C352" s="167">
        <v>2020</v>
      </c>
      <c r="D352" s="166">
        <v>0</v>
      </c>
      <c r="E352" s="166">
        <v>0</v>
      </c>
      <c r="F352" s="166"/>
      <c r="G352" s="166"/>
      <c r="H352" s="166">
        <v>0</v>
      </c>
      <c r="I352" s="166">
        <v>0</v>
      </c>
      <c r="J352" s="86"/>
      <c r="K352" s="169"/>
      <c r="L352" s="361"/>
    </row>
    <row r="353" spans="1:12" s="22" customFormat="1" ht="17.25" customHeight="1">
      <c r="A353" s="308"/>
      <c r="B353" s="288"/>
      <c r="C353" s="167">
        <v>2021</v>
      </c>
      <c r="D353" s="166">
        <v>0</v>
      </c>
      <c r="E353" s="166">
        <v>0</v>
      </c>
      <c r="F353" s="166"/>
      <c r="G353" s="166"/>
      <c r="H353" s="166">
        <v>0</v>
      </c>
      <c r="I353" s="166">
        <v>0</v>
      </c>
      <c r="J353" s="86"/>
      <c r="K353" s="169"/>
      <c r="L353" s="361"/>
    </row>
    <row r="354" spans="1:12" s="22" customFormat="1" ht="17.25" customHeight="1">
      <c r="A354" s="309"/>
      <c r="B354" s="289"/>
      <c r="C354" s="221">
        <v>2022</v>
      </c>
      <c r="D354" s="222">
        <v>0</v>
      </c>
      <c r="E354" s="222"/>
      <c r="F354" s="222"/>
      <c r="G354" s="222"/>
      <c r="H354" s="222"/>
      <c r="I354" s="222">
        <v>0</v>
      </c>
      <c r="J354" s="86"/>
      <c r="K354" s="197"/>
      <c r="L354" s="361"/>
    </row>
    <row r="355" spans="1:12" s="22" customFormat="1" ht="17.25" customHeight="1">
      <c r="A355" s="307" t="s">
        <v>269</v>
      </c>
      <c r="B355" s="287" t="s">
        <v>290</v>
      </c>
      <c r="C355" s="167">
        <v>2017</v>
      </c>
      <c r="D355" s="166">
        <v>0</v>
      </c>
      <c r="E355" s="166">
        <v>0</v>
      </c>
      <c r="F355" s="166"/>
      <c r="G355" s="166"/>
      <c r="H355" s="166">
        <v>0</v>
      </c>
      <c r="I355" s="166">
        <v>0</v>
      </c>
      <c r="J355" s="86"/>
      <c r="K355" s="169"/>
      <c r="L355" s="361"/>
    </row>
    <row r="356" spans="1:12" s="22" customFormat="1" ht="17.25" customHeight="1">
      <c r="A356" s="308"/>
      <c r="B356" s="288"/>
      <c r="C356" s="167">
        <v>2018</v>
      </c>
      <c r="D356" s="166">
        <v>0</v>
      </c>
      <c r="E356" s="166">
        <v>0</v>
      </c>
      <c r="F356" s="166"/>
      <c r="G356" s="166"/>
      <c r="H356" s="166">
        <v>0</v>
      </c>
      <c r="I356" s="166">
        <v>0</v>
      </c>
      <c r="J356" s="86"/>
      <c r="K356" s="169"/>
      <c r="L356" s="361"/>
    </row>
    <row r="357" spans="1:12" s="22" customFormat="1" ht="17.25" customHeight="1">
      <c r="A357" s="308"/>
      <c r="B357" s="288"/>
      <c r="C357" s="173">
        <v>2019</v>
      </c>
      <c r="D357" s="174">
        <f>I357</f>
        <v>40</v>
      </c>
      <c r="E357" s="174"/>
      <c r="F357" s="174"/>
      <c r="G357" s="174"/>
      <c r="H357" s="174"/>
      <c r="I357" s="174">
        <f>40</f>
        <v>40</v>
      </c>
      <c r="J357" s="86"/>
      <c r="K357" s="242" t="s">
        <v>255</v>
      </c>
      <c r="L357" s="361"/>
    </row>
    <row r="358" spans="1:12" s="22" customFormat="1" ht="17.25" customHeight="1">
      <c r="A358" s="308"/>
      <c r="B358" s="288"/>
      <c r="C358" s="167">
        <v>2020</v>
      </c>
      <c r="D358" s="166">
        <v>0</v>
      </c>
      <c r="E358" s="166">
        <v>0</v>
      </c>
      <c r="F358" s="166"/>
      <c r="G358" s="166"/>
      <c r="H358" s="166">
        <v>0</v>
      </c>
      <c r="I358" s="166">
        <v>0</v>
      </c>
      <c r="J358" s="86"/>
      <c r="K358" s="169"/>
      <c r="L358" s="361"/>
    </row>
    <row r="359" spans="1:12" s="22" customFormat="1" ht="17.25" customHeight="1">
      <c r="A359" s="308"/>
      <c r="B359" s="288"/>
      <c r="C359" s="167">
        <v>2021</v>
      </c>
      <c r="D359" s="166">
        <v>0</v>
      </c>
      <c r="E359" s="166">
        <v>0</v>
      </c>
      <c r="F359" s="166"/>
      <c r="G359" s="166"/>
      <c r="H359" s="166">
        <v>0</v>
      </c>
      <c r="I359" s="166">
        <v>0</v>
      </c>
      <c r="J359" s="86"/>
      <c r="K359" s="169"/>
      <c r="L359" s="361"/>
    </row>
    <row r="360" spans="1:12" s="22" customFormat="1" ht="17.25" customHeight="1">
      <c r="A360" s="309"/>
      <c r="B360" s="289"/>
      <c r="C360" s="221">
        <v>2022</v>
      </c>
      <c r="D360" s="222">
        <v>0</v>
      </c>
      <c r="E360" s="222"/>
      <c r="F360" s="222"/>
      <c r="G360" s="222"/>
      <c r="H360" s="222"/>
      <c r="I360" s="222">
        <v>0</v>
      </c>
      <c r="J360" s="86"/>
      <c r="K360" s="197"/>
      <c r="L360" s="361"/>
    </row>
    <row r="361" spans="1:12" s="22" customFormat="1" ht="17.25" customHeight="1">
      <c r="A361" s="307" t="s">
        <v>270</v>
      </c>
      <c r="B361" s="287" t="s">
        <v>291</v>
      </c>
      <c r="C361" s="167">
        <v>2017</v>
      </c>
      <c r="D361" s="166">
        <v>0</v>
      </c>
      <c r="E361" s="166">
        <v>0</v>
      </c>
      <c r="F361" s="166"/>
      <c r="G361" s="166"/>
      <c r="H361" s="166">
        <v>0</v>
      </c>
      <c r="I361" s="166">
        <v>0</v>
      </c>
      <c r="J361" s="86"/>
      <c r="K361" s="169"/>
      <c r="L361" s="361"/>
    </row>
    <row r="362" spans="1:12" s="22" customFormat="1" ht="17.25" customHeight="1">
      <c r="A362" s="308"/>
      <c r="B362" s="288"/>
      <c r="C362" s="167">
        <v>2018</v>
      </c>
      <c r="D362" s="166">
        <v>0</v>
      </c>
      <c r="E362" s="166">
        <v>0</v>
      </c>
      <c r="F362" s="166"/>
      <c r="G362" s="166"/>
      <c r="H362" s="166">
        <v>0</v>
      </c>
      <c r="I362" s="166">
        <v>0</v>
      </c>
      <c r="J362" s="86"/>
      <c r="K362" s="169"/>
      <c r="L362" s="361"/>
    </row>
    <row r="363" spans="1:12" s="22" customFormat="1" ht="17.25" customHeight="1">
      <c r="A363" s="308"/>
      <c r="B363" s="288"/>
      <c r="C363" s="173">
        <v>2019</v>
      </c>
      <c r="D363" s="174">
        <f>I363</f>
        <v>99.891</v>
      </c>
      <c r="E363" s="174"/>
      <c r="F363" s="174"/>
      <c r="G363" s="174"/>
      <c r="H363" s="174"/>
      <c r="I363" s="174">
        <f>100-0.109</f>
        <v>99.891</v>
      </c>
      <c r="J363" s="86"/>
      <c r="K363" s="169" t="s">
        <v>255</v>
      </c>
      <c r="L363" s="361"/>
    </row>
    <row r="364" spans="1:12" s="22" customFormat="1" ht="17.25" customHeight="1">
      <c r="A364" s="308"/>
      <c r="B364" s="288"/>
      <c r="C364" s="167">
        <v>2020</v>
      </c>
      <c r="D364" s="166">
        <v>0</v>
      </c>
      <c r="E364" s="166">
        <v>0</v>
      </c>
      <c r="F364" s="166"/>
      <c r="G364" s="166"/>
      <c r="H364" s="166">
        <v>0</v>
      </c>
      <c r="I364" s="166">
        <v>0</v>
      </c>
      <c r="J364" s="86"/>
      <c r="K364" s="169"/>
      <c r="L364" s="361"/>
    </row>
    <row r="365" spans="1:12" s="22" customFormat="1" ht="17.25" customHeight="1">
      <c r="A365" s="308"/>
      <c r="B365" s="288"/>
      <c r="C365" s="167">
        <v>2021</v>
      </c>
      <c r="D365" s="166">
        <v>0</v>
      </c>
      <c r="E365" s="166">
        <v>0</v>
      </c>
      <c r="F365" s="166"/>
      <c r="G365" s="166"/>
      <c r="H365" s="166">
        <v>0</v>
      </c>
      <c r="I365" s="166">
        <v>0</v>
      </c>
      <c r="J365" s="86"/>
      <c r="K365" s="169"/>
      <c r="L365" s="361"/>
    </row>
    <row r="366" spans="1:12" s="22" customFormat="1" ht="17.25" customHeight="1">
      <c r="A366" s="309"/>
      <c r="B366" s="289"/>
      <c r="C366" s="221">
        <v>2022</v>
      </c>
      <c r="D366" s="222">
        <v>0</v>
      </c>
      <c r="E366" s="222"/>
      <c r="F366" s="222"/>
      <c r="G366" s="222"/>
      <c r="H366" s="222"/>
      <c r="I366" s="222">
        <v>0</v>
      </c>
      <c r="J366" s="86"/>
      <c r="K366" s="197"/>
      <c r="L366" s="361"/>
    </row>
    <row r="367" spans="1:12" s="22" customFormat="1" ht="17.25" customHeight="1">
      <c r="A367" s="307" t="s">
        <v>271</v>
      </c>
      <c r="B367" s="287" t="s">
        <v>260</v>
      </c>
      <c r="C367" s="167">
        <v>2017</v>
      </c>
      <c r="D367" s="166">
        <v>0</v>
      </c>
      <c r="E367" s="166">
        <v>0</v>
      </c>
      <c r="F367" s="166"/>
      <c r="G367" s="166"/>
      <c r="H367" s="166">
        <v>0</v>
      </c>
      <c r="I367" s="166">
        <v>0</v>
      </c>
      <c r="J367" s="86"/>
      <c r="K367" s="169"/>
      <c r="L367" s="361"/>
    </row>
    <row r="368" spans="1:12" s="22" customFormat="1" ht="17.25" customHeight="1">
      <c r="A368" s="308"/>
      <c r="B368" s="288"/>
      <c r="C368" s="167">
        <v>2018</v>
      </c>
      <c r="D368" s="166">
        <v>0</v>
      </c>
      <c r="E368" s="166">
        <v>0</v>
      </c>
      <c r="F368" s="166"/>
      <c r="G368" s="166"/>
      <c r="H368" s="166">
        <v>0</v>
      </c>
      <c r="I368" s="166">
        <v>0</v>
      </c>
      <c r="J368" s="86"/>
      <c r="K368" s="169"/>
      <c r="L368" s="361"/>
    </row>
    <row r="369" spans="1:12" s="22" customFormat="1" ht="17.25" customHeight="1">
      <c r="A369" s="308"/>
      <c r="B369" s="288"/>
      <c r="C369" s="173">
        <v>2019</v>
      </c>
      <c r="D369" s="174">
        <f>I369</f>
        <v>59.927</v>
      </c>
      <c r="E369" s="174"/>
      <c r="F369" s="174"/>
      <c r="G369" s="174"/>
      <c r="H369" s="174"/>
      <c r="I369" s="174">
        <f>60-0.073</f>
        <v>59.927</v>
      </c>
      <c r="J369" s="86"/>
      <c r="K369" s="169" t="s">
        <v>248</v>
      </c>
      <c r="L369" s="361"/>
    </row>
    <row r="370" spans="1:12" s="22" customFormat="1" ht="17.25" customHeight="1">
      <c r="A370" s="308"/>
      <c r="B370" s="288"/>
      <c r="C370" s="167">
        <v>2020</v>
      </c>
      <c r="D370" s="166">
        <v>0</v>
      </c>
      <c r="E370" s="166">
        <v>0</v>
      </c>
      <c r="F370" s="166"/>
      <c r="G370" s="166"/>
      <c r="H370" s="166">
        <v>0</v>
      </c>
      <c r="I370" s="166">
        <v>0</v>
      </c>
      <c r="J370" s="86"/>
      <c r="K370" s="169"/>
      <c r="L370" s="361"/>
    </row>
    <row r="371" spans="1:12" s="22" customFormat="1" ht="17.25" customHeight="1">
      <c r="A371" s="308"/>
      <c r="B371" s="288"/>
      <c r="C371" s="167">
        <v>2021</v>
      </c>
      <c r="D371" s="166">
        <v>0</v>
      </c>
      <c r="E371" s="166">
        <v>0</v>
      </c>
      <c r="F371" s="166"/>
      <c r="G371" s="166"/>
      <c r="H371" s="166">
        <v>0</v>
      </c>
      <c r="I371" s="166">
        <v>0</v>
      </c>
      <c r="J371" s="86"/>
      <c r="K371" s="169"/>
      <c r="L371" s="361"/>
    </row>
    <row r="372" spans="1:12" s="22" customFormat="1" ht="17.25" customHeight="1">
      <c r="A372" s="309"/>
      <c r="B372" s="289"/>
      <c r="C372" s="221">
        <v>2022</v>
      </c>
      <c r="D372" s="222">
        <v>0</v>
      </c>
      <c r="E372" s="222"/>
      <c r="F372" s="222"/>
      <c r="G372" s="222"/>
      <c r="H372" s="222"/>
      <c r="I372" s="222">
        <v>0</v>
      </c>
      <c r="J372" s="86"/>
      <c r="K372" s="197"/>
      <c r="L372" s="361"/>
    </row>
    <row r="373" spans="1:12" s="22" customFormat="1" ht="17.25" customHeight="1">
      <c r="A373" s="299" t="s">
        <v>272</v>
      </c>
      <c r="B373" s="300" t="s">
        <v>292</v>
      </c>
      <c r="C373" s="167">
        <v>2017</v>
      </c>
      <c r="D373" s="166">
        <v>0</v>
      </c>
      <c r="E373" s="166">
        <v>0</v>
      </c>
      <c r="F373" s="166"/>
      <c r="G373" s="166"/>
      <c r="H373" s="166">
        <v>0</v>
      </c>
      <c r="I373" s="166">
        <v>0</v>
      </c>
      <c r="J373" s="86"/>
      <c r="K373" s="169"/>
      <c r="L373" s="361"/>
    </row>
    <row r="374" spans="1:12" s="22" customFormat="1" ht="17.25" customHeight="1">
      <c r="A374" s="299"/>
      <c r="B374" s="300"/>
      <c r="C374" s="167">
        <v>2018</v>
      </c>
      <c r="D374" s="166">
        <v>0</v>
      </c>
      <c r="E374" s="166">
        <v>0</v>
      </c>
      <c r="F374" s="166"/>
      <c r="G374" s="166"/>
      <c r="H374" s="166">
        <v>0</v>
      </c>
      <c r="I374" s="166">
        <v>0</v>
      </c>
      <c r="J374" s="86"/>
      <c r="K374" s="169"/>
      <c r="L374" s="361"/>
    </row>
    <row r="375" spans="1:12" s="22" customFormat="1" ht="17.25" customHeight="1">
      <c r="A375" s="299"/>
      <c r="B375" s="300"/>
      <c r="C375" s="173">
        <v>2019</v>
      </c>
      <c r="D375" s="174">
        <f>I375</f>
        <v>90</v>
      </c>
      <c r="E375" s="174"/>
      <c r="F375" s="174"/>
      <c r="G375" s="174"/>
      <c r="H375" s="174"/>
      <c r="I375" s="174">
        <f>30+60</f>
        <v>90</v>
      </c>
      <c r="J375" s="86"/>
      <c r="K375" s="169" t="s">
        <v>261</v>
      </c>
      <c r="L375" s="361"/>
    </row>
    <row r="376" spans="1:12" s="22" customFormat="1" ht="17.25" customHeight="1">
      <c r="A376" s="299"/>
      <c r="B376" s="300"/>
      <c r="C376" s="167">
        <v>2020</v>
      </c>
      <c r="D376" s="166">
        <v>0</v>
      </c>
      <c r="E376" s="166">
        <v>0</v>
      </c>
      <c r="F376" s="166"/>
      <c r="G376" s="166"/>
      <c r="H376" s="166">
        <v>0</v>
      </c>
      <c r="I376" s="166">
        <v>0</v>
      </c>
      <c r="J376" s="86"/>
      <c r="K376" s="169"/>
      <c r="L376" s="361"/>
    </row>
    <row r="377" spans="1:12" s="22" customFormat="1" ht="17.25" customHeight="1">
      <c r="A377" s="299"/>
      <c r="B377" s="300"/>
      <c r="C377" s="167">
        <v>2021</v>
      </c>
      <c r="D377" s="166">
        <v>0</v>
      </c>
      <c r="E377" s="166">
        <v>0</v>
      </c>
      <c r="F377" s="166"/>
      <c r="G377" s="166"/>
      <c r="H377" s="166">
        <v>0</v>
      </c>
      <c r="I377" s="166">
        <v>0</v>
      </c>
      <c r="J377" s="86"/>
      <c r="K377" s="169"/>
      <c r="L377" s="361"/>
    </row>
    <row r="378" spans="1:12" s="22" customFormat="1" ht="17.25" customHeight="1">
      <c r="A378" s="299"/>
      <c r="B378" s="300"/>
      <c r="C378" s="221">
        <v>2022</v>
      </c>
      <c r="D378" s="222">
        <v>0</v>
      </c>
      <c r="E378" s="222"/>
      <c r="F378" s="222"/>
      <c r="G378" s="222"/>
      <c r="H378" s="222"/>
      <c r="I378" s="222">
        <v>0</v>
      </c>
      <c r="J378" s="86"/>
      <c r="K378" s="197"/>
      <c r="L378" s="361"/>
    </row>
    <row r="379" spans="1:12" s="22" customFormat="1" ht="17.25" customHeight="1">
      <c r="A379" s="299" t="s">
        <v>298</v>
      </c>
      <c r="B379" s="300" t="s">
        <v>301</v>
      </c>
      <c r="C379" s="244">
        <v>2017</v>
      </c>
      <c r="D379" s="243">
        <v>0</v>
      </c>
      <c r="E379" s="243">
        <v>0</v>
      </c>
      <c r="F379" s="243"/>
      <c r="G379" s="243"/>
      <c r="H379" s="243">
        <v>0</v>
      </c>
      <c r="I379" s="243">
        <v>0</v>
      </c>
      <c r="J379" s="86"/>
      <c r="K379" s="242"/>
      <c r="L379" s="361"/>
    </row>
    <row r="380" spans="1:12" s="22" customFormat="1" ht="17.25" customHeight="1">
      <c r="A380" s="299"/>
      <c r="B380" s="300"/>
      <c r="C380" s="244">
        <v>2018</v>
      </c>
      <c r="D380" s="243">
        <v>0</v>
      </c>
      <c r="E380" s="243">
        <v>0</v>
      </c>
      <c r="F380" s="243"/>
      <c r="G380" s="243"/>
      <c r="H380" s="243">
        <v>0</v>
      </c>
      <c r="I380" s="243">
        <v>0</v>
      </c>
      <c r="J380" s="86"/>
      <c r="K380" s="242"/>
      <c r="L380" s="361"/>
    </row>
    <row r="381" spans="1:12" s="22" customFormat="1" ht="17.25" customHeight="1">
      <c r="A381" s="299"/>
      <c r="B381" s="300"/>
      <c r="C381" s="250">
        <v>2019</v>
      </c>
      <c r="D381" s="251">
        <f>I381</f>
        <v>221.458</v>
      </c>
      <c r="E381" s="251"/>
      <c r="F381" s="251"/>
      <c r="G381" s="251"/>
      <c r="H381" s="251"/>
      <c r="I381" s="251">
        <f>223-1.542</f>
        <v>221.458</v>
      </c>
      <c r="J381" s="86"/>
      <c r="K381" s="242" t="s">
        <v>255</v>
      </c>
      <c r="L381" s="361"/>
    </row>
    <row r="382" spans="1:12" s="22" customFormat="1" ht="17.25" customHeight="1">
      <c r="A382" s="299"/>
      <c r="B382" s="300"/>
      <c r="C382" s="244">
        <v>2020</v>
      </c>
      <c r="D382" s="243">
        <v>0</v>
      </c>
      <c r="E382" s="243">
        <v>0</v>
      </c>
      <c r="F382" s="243"/>
      <c r="G382" s="243"/>
      <c r="H382" s="243">
        <v>0</v>
      </c>
      <c r="I382" s="243">
        <v>0</v>
      </c>
      <c r="J382" s="86"/>
      <c r="K382" s="242"/>
      <c r="L382" s="361"/>
    </row>
    <row r="383" spans="1:12" s="22" customFormat="1" ht="17.25" customHeight="1">
      <c r="A383" s="299"/>
      <c r="B383" s="300"/>
      <c r="C383" s="244">
        <v>2021</v>
      </c>
      <c r="D383" s="243">
        <v>0</v>
      </c>
      <c r="E383" s="243">
        <v>0</v>
      </c>
      <c r="F383" s="243"/>
      <c r="G383" s="243"/>
      <c r="H383" s="243">
        <v>0</v>
      </c>
      <c r="I383" s="243">
        <v>0</v>
      </c>
      <c r="J383" s="86"/>
      <c r="K383" s="242"/>
      <c r="L383" s="361"/>
    </row>
    <row r="384" spans="1:12" s="22" customFormat="1" ht="17.25" customHeight="1">
      <c r="A384" s="299"/>
      <c r="B384" s="300"/>
      <c r="C384" s="221">
        <v>2022</v>
      </c>
      <c r="D384" s="222">
        <v>0</v>
      </c>
      <c r="E384" s="222"/>
      <c r="F384" s="222"/>
      <c r="G384" s="222"/>
      <c r="H384" s="222"/>
      <c r="I384" s="222">
        <v>0</v>
      </c>
      <c r="J384" s="86"/>
      <c r="K384" s="242"/>
      <c r="L384" s="361"/>
    </row>
    <row r="385" spans="1:12" s="22" customFormat="1" ht="17.25" customHeight="1">
      <c r="A385" s="299" t="s">
        <v>299</v>
      </c>
      <c r="B385" s="300" t="s">
        <v>300</v>
      </c>
      <c r="C385" s="244">
        <v>2017</v>
      </c>
      <c r="D385" s="243">
        <v>0</v>
      </c>
      <c r="E385" s="243">
        <v>0</v>
      </c>
      <c r="F385" s="243"/>
      <c r="G385" s="243"/>
      <c r="H385" s="243">
        <v>0</v>
      </c>
      <c r="I385" s="243">
        <v>0</v>
      </c>
      <c r="J385" s="86"/>
      <c r="K385" s="242"/>
      <c r="L385" s="361"/>
    </row>
    <row r="386" spans="1:12" s="22" customFormat="1" ht="17.25" customHeight="1">
      <c r="A386" s="299"/>
      <c r="B386" s="300"/>
      <c r="C386" s="244">
        <v>2018</v>
      </c>
      <c r="D386" s="243">
        <v>0</v>
      </c>
      <c r="E386" s="243">
        <v>0</v>
      </c>
      <c r="F386" s="243"/>
      <c r="G386" s="243"/>
      <c r="H386" s="243">
        <v>0</v>
      </c>
      <c r="I386" s="243">
        <v>0</v>
      </c>
      <c r="J386" s="86"/>
      <c r="K386" s="242"/>
      <c r="L386" s="361"/>
    </row>
    <row r="387" spans="1:12" s="22" customFormat="1" ht="17.25" customHeight="1">
      <c r="A387" s="299"/>
      <c r="B387" s="300"/>
      <c r="C387" s="250">
        <v>2019</v>
      </c>
      <c r="D387" s="251">
        <f>I387</f>
        <v>361.666</v>
      </c>
      <c r="E387" s="251"/>
      <c r="F387" s="251"/>
      <c r="G387" s="251"/>
      <c r="H387" s="251"/>
      <c r="I387" s="251">
        <v>361.666</v>
      </c>
      <c r="J387" s="86"/>
      <c r="K387" s="242" t="s">
        <v>173</v>
      </c>
      <c r="L387" s="361"/>
    </row>
    <row r="388" spans="1:12" s="22" customFormat="1" ht="17.25" customHeight="1">
      <c r="A388" s="299"/>
      <c r="B388" s="300"/>
      <c r="C388" s="244">
        <v>2020</v>
      </c>
      <c r="D388" s="243">
        <v>0</v>
      </c>
      <c r="E388" s="243">
        <v>0</v>
      </c>
      <c r="F388" s="243"/>
      <c r="G388" s="243"/>
      <c r="H388" s="243">
        <v>0</v>
      </c>
      <c r="I388" s="243">
        <v>0</v>
      </c>
      <c r="J388" s="86"/>
      <c r="K388" s="242"/>
      <c r="L388" s="361"/>
    </row>
    <row r="389" spans="1:12" s="22" customFormat="1" ht="17.25" customHeight="1">
      <c r="A389" s="299"/>
      <c r="B389" s="300"/>
      <c r="C389" s="244">
        <v>2021</v>
      </c>
      <c r="D389" s="243">
        <v>0</v>
      </c>
      <c r="E389" s="243">
        <v>0</v>
      </c>
      <c r="F389" s="243"/>
      <c r="G389" s="243"/>
      <c r="H389" s="243">
        <v>0</v>
      </c>
      <c r="I389" s="243">
        <v>0</v>
      </c>
      <c r="J389" s="86"/>
      <c r="K389" s="242"/>
      <c r="L389" s="361"/>
    </row>
    <row r="390" spans="1:12" s="22" customFormat="1" ht="17.25" customHeight="1">
      <c r="A390" s="299"/>
      <c r="B390" s="300"/>
      <c r="C390" s="221">
        <v>2022</v>
      </c>
      <c r="D390" s="222">
        <v>0</v>
      </c>
      <c r="E390" s="222"/>
      <c r="F390" s="222"/>
      <c r="G390" s="222"/>
      <c r="H390" s="222"/>
      <c r="I390" s="222">
        <v>0</v>
      </c>
      <c r="J390" s="86"/>
      <c r="K390" s="242"/>
      <c r="L390" s="361"/>
    </row>
    <row r="391" spans="1:12" s="22" customFormat="1" ht="17.25" customHeight="1">
      <c r="A391" s="364" t="s">
        <v>168</v>
      </c>
      <c r="B391" s="365"/>
      <c r="C391" s="113">
        <v>2017</v>
      </c>
      <c r="D391" s="165">
        <f>I391</f>
        <v>3287.0615500000004</v>
      </c>
      <c r="E391" s="165">
        <v>0</v>
      </c>
      <c r="F391" s="165">
        <v>0</v>
      </c>
      <c r="G391" s="165">
        <v>0</v>
      </c>
      <c r="H391" s="165">
        <v>0</v>
      </c>
      <c r="I391" s="165">
        <f>I152+I146+I145+I139+I133+I127+I126</f>
        <v>3287.0615500000004</v>
      </c>
      <c r="J391" s="86"/>
      <c r="K391" s="128"/>
      <c r="L391" s="361"/>
    </row>
    <row r="392" spans="1:12" s="22" customFormat="1" ht="18" customHeight="1">
      <c r="A392" s="366"/>
      <c r="B392" s="367"/>
      <c r="C392" s="114">
        <v>2018</v>
      </c>
      <c r="D392" s="92">
        <f>E392+H392+I392</f>
        <v>6571.8936699999995</v>
      </c>
      <c r="E392" s="92">
        <f>E60+E68+E78+E84+E89+E90+E91+E123+E159+E167+E171+E177+E183+E117</f>
        <v>0</v>
      </c>
      <c r="F392" s="92">
        <v>0</v>
      </c>
      <c r="G392" s="92">
        <v>0</v>
      </c>
      <c r="H392" s="92">
        <f>H60+H68+H78+H84+H89+H90+H91+H123+H159+H167+H171+H177+H183+H117</f>
        <v>0</v>
      </c>
      <c r="I392" s="92">
        <f>I159+I165+I171+I177+I183+I160+I189+I190+I192+I193+I191+I199+I206+I212+I218+I224+I230+I236++I242+I205+I248</f>
        <v>6571.8936699999995</v>
      </c>
      <c r="J392" s="93"/>
      <c r="K392" s="94"/>
      <c r="L392" s="361"/>
    </row>
    <row r="393" spans="1:12" s="22" customFormat="1" ht="14.25">
      <c r="A393" s="366"/>
      <c r="B393" s="367"/>
      <c r="C393" s="248">
        <v>2019</v>
      </c>
      <c r="D393" s="249">
        <f>E393+H393+I393</f>
        <v>11873.24712</v>
      </c>
      <c r="E393" s="249">
        <f>E66+E72+E79+E85+E92+E118+E124+E161+E165+E172+E178+E184</f>
        <v>0</v>
      </c>
      <c r="F393" s="249">
        <v>0</v>
      </c>
      <c r="G393" s="249">
        <v>0</v>
      </c>
      <c r="H393" s="249">
        <v>0</v>
      </c>
      <c r="I393" s="249">
        <f>I273+I267+I261+I255+I172+I279+I285+I291+I297+I303+I309+I178+I327+I321+I315+I375+I369+I351+I345+I339+I333+I357+I363+I381+I387</f>
        <v>11873.24712</v>
      </c>
      <c r="J393" s="93"/>
      <c r="K393" s="94"/>
      <c r="L393" s="361"/>
    </row>
    <row r="394" spans="1:12" s="22" customFormat="1" ht="14.25">
      <c r="A394" s="366"/>
      <c r="B394" s="367"/>
      <c r="C394" s="114">
        <v>2020</v>
      </c>
      <c r="D394" s="92">
        <f>E394+H394+I394</f>
        <v>0</v>
      </c>
      <c r="E394" s="92">
        <f>E67+E73+E80+E86+E107+E122+E130+E166+E173+E179+E185</f>
        <v>0</v>
      </c>
      <c r="F394" s="92">
        <v>0</v>
      </c>
      <c r="G394" s="92">
        <v>0</v>
      </c>
      <c r="H394" s="92">
        <f>H67+H73+H80+H86+H107+H122+H130+H166+H173+H179+H185</f>
        <v>0</v>
      </c>
      <c r="I394" s="165">
        <f>I167+I173+I179+I185</f>
        <v>0</v>
      </c>
      <c r="J394" s="93"/>
      <c r="K394" s="94"/>
      <c r="L394" s="361"/>
    </row>
    <row r="395" spans="1:12" s="22" customFormat="1" ht="14.25">
      <c r="A395" s="366"/>
      <c r="B395" s="367"/>
      <c r="C395" s="114">
        <v>2021</v>
      </c>
      <c r="D395" s="92">
        <v>0</v>
      </c>
      <c r="E395" s="92">
        <v>0</v>
      </c>
      <c r="F395" s="92">
        <v>0</v>
      </c>
      <c r="G395" s="92">
        <v>0</v>
      </c>
      <c r="H395" s="92">
        <v>0</v>
      </c>
      <c r="I395" s="92">
        <v>0</v>
      </c>
      <c r="J395" s="93"/>
      <c r="K395" s="94"/>
      <c r="L395" s="362"/>
    </row>
    <row r="396" spans="1:12" s="22" customFormat="1" ht="14.25">
      <c r="A396" s="368"/>
      <c r="B396" s="369"/>
      <c r="C396" s="114">
        <v>2022</v>
      </c>
      <c r="D396" s="207">
        <v>0</v>
      </c>
      <c r="E396" s="207"/>
      <c r="F396" s="207"/>
      <c r="G396" s="207"/>
      <c r="H396" s="207"/>
      <c r="I396" s="207">
        <v>0</v>
      </c>
      <c r="J396" s="93"/>
      <c r="K396" s="94"/>
      <c r="L396" s="95"/>
    </row>
    <row r="397" spans="1:12" ht="14.25">
      <c r="A397" s="97"/>
      <c r="B397" s="316" t="s">
        <v>192</v>
      </c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</row>
    <row r="398" spans="1:12" ht="14.25" customHeight="1">
      <c r="A398" s="201"/>
      <c r="B398" s="201"/>
      <c r="C398" s="201"/>
      <c r="D398" s="201"/>
      <c r="E398" s="201"/>
      <c r="F398" s="201"/>
      <c r="G398" s="201"/>
      <c r="H398" s="201"/>
      <c r="I398" s="201"/>
      <c r="J398" s="201"/>
      <c r="K398" s="201"/>
      <c r="L398" s="201"/>
    </row>
    <row r="399" spans="1:13" ht="13.5" customHeight="1">
      <c r="A399" s="159" t="s">
        <v>150</v>
      </c>
      <c r="B399" s="317" t="s">
        <v>39</v>
      </c>
      <c r="C399" s="317"/>
      <c r="D399" s="317"/>
      <c r="E399" s="317"/>
      <c r="F399" s="317"/>
      <c r="G399" s="317"/>
      <c r="H399" s="317"/>
      <c r="I399" s="317"/>
      <c r="J399" s="317"/>
      <c r="K399" s="317"/>
      <c r="L399" s="317"/>
      <c r="M399" t="s">
        <v>39</v>
      </c>
    </row>
    <row r="400" spans="1:12" ht="15" customHeight="1">
      <c r="A400" s="316" t="s">
        <v>63</v>
      </c>
      <c r="B400" s="316" t="s">
        <v>54</v>
      </c>
      <c r="C400" s="116">
        <v>2017</v>
      </c>
      <c r="D400" s="129">
        <f>I400</f>
        <v>6500.04975</v>
      </c>
      <c r="E400" s="129">
        <v>0</v>
      </c>
      <c r="F400" s="129"/>
      <c r="G400" s="129"/>
      <c r="H400" s="129">
        <v>0</v>
      </c>
      <c r="I400" s="129">
        <v>6500.04975</v>
      </c>
      <c r="J400" s="97"/>
      <c r="K400" s="293" t="s">
        <v>146</v>
      </c>
      <c r="L400" s="97"/>
    </row>
    <row r="401" spans="1:12" ht="25.5" customHeight="1">
      <c r="A401" s="316"/>
      <c r="B401" s="316"/>
      <c r="C401" s="115">
        <v>2018</v>
      </c>
      <c r="D401" s="129">
        <f>I401</f>
        <v>8299.13376</v>
      </c>
      <c r="E401" s="129">
        <v>0</v>
      </c>
      <c r="F401" s="129"/>
      <c r="G401" s="129"/>
      <c r="H401" s="129">
        <v>0</v>
      </c>
      <c r="I401" s="129">
        <f>6137.149+0.73226+1830.1275+327.1+0.025+4</f>
        <v>8299.13376</v>
      </c>
      <c r="J401" s="93"/>
      <c r="K401" s="294"/>
      <c r="L401" s="97"/>
    </row>
    <row r="402" spans="1:12" ht="18.75" customHeight="1">
      <c r="A402" s="316"/>
      <c r="B402" s="316"/>
      <c r="C402" s="182">
        <v>2019</v>
      </c>
      <c r="D402" s="183">
        <f>E402+H402+I402</f>
        <v>11030.448000000002</v>
      </c>
      <c r="E402" s="183">
        <v>0</v>
      </c>
      <c r="F402" s="183"/>
      <c r="G402" s="183"/>
      <c r="H402" s="183">
        <v>0</v>
      </c>
      <c r="I402" s="183">
        <f>8209.868+1.00667+2478.37333+341.2</f>
        <v>11030.448000000002</v>
      </c>
      <c r="J402" s="93"/>
      <c r="K402" s="294"/>
      <c r="L402" s="97"/>
    </row>
    <row r="403" spans="1:12" ht="14.25">
      <c r="A403" s="316"/>
      <c r="B403" s="316"/>
      <c r="C403" s="233">
        <v>2020</v>
      </c>
      <c r="D403" s="234">
        <f>E403+H403+I403</f>
        <v>10553.412</v>
      </c>
      <c r="E403" s="234">
        <v>0</v>
      </c>
      <c r="F403" s="234"/>
      <c r="G403" s="234"/>
      <c r="H403" s="234">
        <v>0</v>
      </c>
      <c r="I403" s="234">
        <f>7843.481+2368.731+341.2</f>
        <v>10553.412</v>
      </c>
      <c r="J403" s="93"/>
      <c r="K403" s="294"/>
      <c r="L403" s="97"/>
    </row>
    <row r="404" spans="1:12" ht="14.25">
      <c r="A404" s="316"/>
      <c r="B404" s="316"/>
      <c r="C404" s="115">
        <v>2021</v>
      </c>
      <c r="D404" s="129">
        <f>I404</f>
        <v>10553.412</v>
      </c>
      <c r="E404" s="129">
        <v>0</v>
      </c>
      <c r="F404" s="129"/>
      <c r="G404" s="129"/>
      <c r="H404" s="129"/>
      <c r="I404" s="129">
        <f>I403</f>
        <v>10553.412</v>
      </c>
      <c r="J404" s="93"/>
      <c r="K404" s="295"/>
      <c r="L404" s="97"/>
    </row>
    <row r="405" spans="1:12" ht="14.25">
      <c r="A405" s="316"/>
      <c r="B405" s="316"/>
      <c r="C405" s="235">
        <v>2022</v>
      </c>
      <c r="D405" s="236">
        <f>I405</f>
        <v>10553.412</v>
      </c>
      <c r="E405" s="236"/>
      <c r="F405" s="236"/>
      <c r="G405" s="236"/>
      <c r="H405" s="236"/>
      <c r="I405" s="236">
        <v>10553.412</v>
      </c>
      <c r="J405" s="93"/>
      <c r="K405" s="202"/>
      <c r="L405" s="97"/>
    </row>
    <row r="406" spans="1:12" ht="14.25" customHeight="1">
      <c r="A406" s="324" t="s">
        <v>168</v>
      </c>
      <c r="B406" s="325"/>
      <c r="C406" s="114">
        <v>2017</v>
      </c>
      <c r="D406" s="92">
        <f>I406</f>
        <v>6500.04975</v>
      </c>
      <c r="E406" s="92">
        <v>0</v>
      </c>
      <c r="F406" s="92"/>
      <c r="G406" s="92"/>
      <c r="H406" s="92">
        <v>0</v>
      </c>
      <c r="I406" s="92">
        <f aca="true" t="shared" si="5" ref="I406:I411">I400</f>
        <v>6500.04975</v>
      </c>
      <c r="J406" s="93"/>
      <c r="K406" s="129"/>
      <c r="L406" s="97"/>
    </row>
    <row r="407" spans="1:12" ht="14.25">
      <c r="A407" s="326"/>
      <c r="B407" s="327"/>
      <c r="C407" s="114">
        <v>2018</v>
      </c>
      <c r="D407" s="92">
        <f>E407+H407+I407</f>
        <v>8299.13376</v>
      </c>
      <c r="E407" s="92">
        <f>E84+E89+E94+E107+E117+E118+E159+E161+E165+E171+E173+E179+E185+E392+E393+E397+E401</f>
        <v>0</v>
      </c>
      <c r="F407" s="92"/>
      <c r="G407" s="92"/>
      <c r="H407" s="92">
        <f>H84+H89+H94+H107+H117+H118+H159+H161+H165+H171+H173+H179+H185+H392+H393+H397+H401</f>
        <v>0</v>
      </c>
      <c r="I407" s="92">
        <f t="shared" si="5"/>
        <v>8299.13376</v>
      </c>
      <c r="J407" s="93"/>
      <c r="K407" s="94"/>
      <c r="L407" s="97"/>
    </row>
    <row r="408" spans="1:12" ht="14.25">
      <c r="A408" s="326"/>
      <c r="B408" s="327"/>
      <c r="C408" s="114">
        <v>2019</v>
      </c>
      <c r="D408" s="92">
        <f>E408+H408+I408</f>
        <v>11030.448000000002</v>
      </c>
      <c r="E408" s="92">
        <f>E85+E90+E98+E119+E166+E177+E183+E394+E398+E402</f>
        <v>0</v>
      </c>
      <c r="F408" s="92"/>
      <c r="G408" s="92"/>
      <c r="H408" s="92">
        <f>H85+H90+H98+H119+H166+H177+H183+H394+H398+H402</f>
        <v>0</v>
      </c>
      <c r="I408" s="92">
        <f t="shared" si="5"/>
        <v>11030.448000000002</v>
      </c>
      <c r="J408" s="93"/>
      <c r="K408" s="94"/>
      <c r="L408" s="95"/>
    </row>
    <row r="409" spans="1:12" ht="14.25">
      <c r="A409" s="326"/>
      <c r="B409" s="327"/>
      <c r="C409" s="114">
        <v>2020</v>
      </c>
      <c r="D409" s="92">
        <f>E409+H409+I409</f>
        <v>10553.412</v>
      </c>
      <c r="E409" s="92">
        <f>E86+E91+E99+E130+E167+E172+E178+E184+E395+E399+E403</f>
        <v>0</v>
      </c>
      <c r="F409" s="92"/>
      <c r="G409" s="92"/>
      <c r="H409" s="92">
        <f>H86+H91+H99+H130+H167+H172+H178+H184+H395+H399+H403</f>
        <v>0</v>
      </c>
      <c r="I409" s="92">
        <f t="shared" si="5"/>
        <v>10553.412</v>
      </c>
      <c r="J409" s="93"/>
      <c r="K409" s="94"/>
      <c r="L409" s="95"/>
    </row>
    <row r="410" spans="1:12" ht="14.25">
      <c r="A410" s="326"/>
      <c r="B410" s="327"/>
      <c r="C410" s="117">
        <v>2021</v>
      </c>
      <c r="D410" s="137">
        <f>I410</f>
        <v>10553.412</v>
      </c>
      <c r="E410" s="137">
        <v>0</v>
      </c>
      <c r="F410" s="137"/>
      <c r="G410" s="137"/>
      <c r="H410" s="137">
        <v>0</v>
      </c>
      <c r="I410" s="137">
        <f t="shared" si="5"/>
        <v>10553.412</v>
      </c>
      <c r="J410" s="137"/>
      <c r="K410" s="137"/>
      <c r="L410" s="95"/>
    </row>
    <row r="411" spans="1:12" ht="14.25">
      <c r="A411" s="328"/>
      <c r="B411" s="329"/>
      <c r="C411" s="117">
        <v>2022</v>
      </c>
      <c r="D411" s="201">
        <f>I411</f>
        <v>10553.412</v>
      </c>
      <c r="E411" s="201"/>
      <c r="F411" s="201"/>
      <c r="G411" s="201"/>
      <c r="H411" s="201"/>
      <c r="I411" s="201">
        <f t="shared" si="5"/>
        <v>10553.412</v>
      </c>
      <c r="J411" s="201"/>
      <c r="K411" s="201"/>
      <c r="L411" s="95"/>
    </row>
    <row r="412" spans="1:12" ht="13.5" customHeight="1">
      <c r="A412" s="318" t="s">
        <v>97</v>
      </c>
      <c r="B412" s="318"/>
      <c r="C412" s="318"/>
      <c r="D412" s="318"/>
      <c r="E412" s="318"/>
      <c r="F412" s="318"/>
      <c r="G412" s="318"/>
      <c r="H412" s="318"/>
      <c r="I412" s="318"/>
      <c r="J412" s="318"/>
      <c r="K412" s="318"/>
      <c r="L412" s="137"/>
    </row>
    <row r="413" spans="1:12" ht="25.5" customHeight="1">
      <c r="A413" s="97" t="s">
        <v>193</v>
      </c>
      <c r="B413" s="316" t="s">
        <v>194</v>
      </c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</row>
    <row r="414" spans="1:12" ht="15.75" customHeight="1">
      <c r="A414" s="293" t="s">
        <v>64</v>
      </c>
      <c r="B414" s="293" t="s">
        <v>278</v>
      </c>
      <c r="C414" s="115">
        <v>2017</v>
      </c>
      <c r="D414" s="129">
        <f>H414+I414</f>
        <v>11181.419240000001</v>
      </c>
      <c r="E414" s="129">
        <v>0</v>
      </c>
      <c r="F414" s="129">
        <f aca="true" t="shared" si="6" ref="F414:F435">G414+H414</f>
        <v>2270.1</v>
      </c>
      <c r="G414" s="129"/>
      <c r="H414" s="126">
        <v>2270.1</v>
      </c>
      <c r="I414" s="126">
        <v>8911.31924</v>
      </c>
      <c r="J414" s="97">
        <v>0</v>
      </c>
      <c r="K414" s="313" t="s">
        <v>153</v>
      </c>
      <c r="L414" s="293" t="s">
        <v>305</v>
      </c>
    </row>
    <row r="415" spans="1:12" ht="15.75" customHeight="1">
      <c r="A415" s="294"/>
      <c r="B415" s="294"/>
      <c r="C415" s="115">
        <v>2018</v>
      </c>
      <c r="D415" s="129">
        <f>E415+H415+I415+J415</f>
        <v>12687.26973</v>
      </c>
      <c r="E415" s="129">
        <v>0</v>
      </c>
      <c r="F415" s="129">
        <f t="shared" si="6"/>
        <v>2741.4</v>
      </c>
      <c r="G415" s="129"/>
      <c r="H415" s="126">
        <f>2741.4</f>
        <v>2741.4</v>
      </c>
      <c r="I415" s="126">
        <f>6281.07244+2581.18215</f>
        <v>8862.25459</v>
      </c>
      <c r="J415" s="98">
        <v>1083.61514</v>
      </c>
      <c r="K415" s="314"/>
      <c r="L415" s="294"/>
    </row>
    <row r="416" spans="1:12" ht="20.25" customHeight="1">
      <c r="A416" s="294"/>
      <c r="B416" s="294"/>
      <c r="C416" s="184">
        <v>2019</v>
      </c>
      <c r="D416" s="185">
        <f>F416+I416+J416</f>
        <v>12249.01844</v>
      </c>
      <c r="E416" s="185">
        <v>0</v>
      </c>
      <c r="F416" s="185">
        <f t="shared" si="6"/>
        <v>3472.5</v>
      </c>
      <c r="G416" s="185"/>
      <c r="H416" s="180">
        <v>3472.5</v>
      </c>
      <c r="I416" s="180">
        <f>3988.261+3738.576</f>
        <v>7726.8369999999995</v>
      </c>
      <c r="J416" s="187">
        <v>1049.68144</v>
      </c>
      <c r="K416" s="314"/>
      <c r="L416" s="294"/>
    </row>
    <row r="417" spans="1:13" ht="20.25" customHeight="1">
      <c r="A417" s="294"/>
      <c r="B417" s="294"/>
      <c r="C417" s="233">
        <v>2020</v>
      </c>
      <c r="D417" s="234">
        <f>H417+I417+J417</f>
        <v>14333.79844</v>
      </c>
      <c r="E417" s="234">
        <v>0</v>
      </c>
      <c r="F417" s="234">
        <f t="shared" si="6"/>
        <v>3872.5</v>
      </c>
      <c r="G417" s="234"/>
      <c r="H417" s="238">
        <f>H416+400</f>
        <v>3872.5</v>
      </c>
      <c r="I417" s="238">
        <f>5173.041+3738.576+500</f>
        <v>9411.617</v>
      </c>
      <c r="J417" s="239">
        <f>J416</f>
        <v>1049.68144</v>
      </c>
      <c r="K417" s="314"/>
      <c r="L417" s="294"/>
      <c r="M417" t="s">
        <v>39</v>
      </c>
    </row>
    <row r="418" spans="1:12" ht="20.25" customHeight="1">
      <c r="A418" s="294"/>
      <c r="B418" s="294"/>
      <c r="C418" s="115">
        <v>2021</v>
      </c>
      <c r="D418" s="129">
        <f>I418+H418+J418</f>
        <v>13431.67444</v>
      </c>
      <c r="E418" s="129">
        <v>0</v>
      </c>
      <c r="F418" s="129">
        <f>H418</f>
        <v>3472.5</v>
      </c>
      <c r="G418" s="129"/>
      <c r="H418" s="126">
        <f>H417-400</f>
        <v>3472.5</v>
      </c>
      <c r="I418" s="126">
        <f>3738.576+5170.917</f>
        <v>8909.493</v>
      </c>
      <c r="J418" s="98">
        <f>J417</f>
        <v>1049.68144</v>
      </c>
      <c r="K418" s="314"/>
      <c r="L418" s="294"/>
    </row>
    <row r="419" spans="1:12" ht="20.25" customHeight="1">
      <c r="A419" s="295"/>
      <c r="B419" s="295"/>
      <c r="C419" s="235">
        <v>2022</v>
      </c>
      <c r="D419" s="236">
        <f>I419+H419+J419</f>
        <v>13431.67444</v>
      </c>
      <c r="E419" s="236">
        <v>0</v>
      </c>
      <c r="F419" s="236">
        <f>H419</f>
        <v>3472.5</v>
      </c>
      <c r="G419" s="236"/>
      <c r="H419" s="222">
        <f>H418</f>
        <v>3472.5</v>
      </c>
      <c r="I419" s="222">
        <f>3738.576+5170.917</f>
        <v>8909.493</v>
      </c>
      <c r="J419" s="237">
        <f>J418</f>
        <v>1049.68144</v>
      </c>
      <c r="K419" s="315"/>
      <c r="L419" s="294"/>
    </row>
    <row r="420" spans="1:12" ht="20.25" customHeight="1">
      <c r="A420" s="293" t="s">
        <v>67</v>
      </c>
      <c r="B420" s="293" t="s">
        <v>279</v>
      </c>
      <c r="C420" s="115">
        <v>2017</v>
      </c>
      <c r="D420" s="129">
        <f>H420+I420+J420</f>
        <v>19392.76832</v>
      </c>
      <c r="E420" s="129">
        <v>0</v>
      </c>
      <c r="F420" s="129">
        <f t="shared" si="6"/>
        <v>176</v>
      </c>
      <c r="G420" s="129"/>
      <c r="H420" s="126">
        <v>176</v>
      </c>
      <c r="I420" s="126">
        <v>19216.76832</v>
      </c>
      <c r="J420" s="98">
        <v>0</v>
      </c>
      <c r="K420" s="313" t="s">
        <v>52</v>
      </c>
      <c r="L420" s="294"/>
    </row>
    <row r="421" spans="1:12" ht="20.25" customHeight="1">
      <c r="A421" s="294"/>
      <c r="B421" s="294"/>
      <c r="C421" s="115">
        <v>2018</v>
      </c>
      <c r="D421" s="129">
        <f>H421+I421+J421</f>
        <v>19564.29559</v>
      </c>
      <c r="E421" s="129">
        <v>0</v>
      </c>
      <c r="F421" s="129">
        <f t="shared" si="6"/>
        <v>377.618</v>
      </c>
      <c r="G421" s="129"/>
      <c r="H421" s="126">
        <f>377.618</f>
        <v>377.618</v>
      </c>
      <c r="I421" s="126">
        <f>15699.79296+1754.72854</f>
        <v>17454.521500000003</v>
      </c>
      <c r="J421" s="93">
        <v>1732.15609</v>
      </c>
      <c r="K421" s="314"/>
      <c r="L421" s="294"/>
    </row>
    <row r="422" spans="1:12" ht="20.25" customHeight="1">
      <c r="A422" s="294"/>
      <c r="B422" s="294"/>
      <c r="C422" s="182">
        <v>2019</v>
      </c>
      <c r="D422" s="183">
        <f>H422+I422+J422</f>
        <v>17439.642969999997</v>
      </c>
      <c r="E422" s="183">
        <v>0</v>
      </c>
      <c r="F422" s="183">
        <f t="shared" si="6"/>
        <v>427.364</v>
      </c>
      <c r="G422" s="183"/>
      <c r="H422" s="174">
        <v>427.364</v>
      </c>
      <c r="I422" s="174">
        <f>11398.04+1962.871+1557.479+22.5+471.63972</f>
        <v>15412.529719999999</v>
      </c>
      <c r="J422" s="188">
        <v>1599.74925</v>
      </c>
      <c r="K422" s="314"/>
      <c r="L422" s="294"/>
    </row>
    <row r="423" spans="1:12" ht="20.25" customHeight="1">
      <c r="A423" s="294"/>
      <c r="B423" s="294"/>
      <c r="C423" s="233">
        <v>2020</v>
      </c>
      <c r="D423" s="234">
        <f>H423+I423+J423</f>
        <v>16499.893249999997</v>
      </c>
      <c r="E423" s="234">
        <v>0</v>
      </c>
      <c r="F423" s="234">
        <f t="shared" si="6"/>
        <v>827.364</v>
      </c>
      <c r="G423" s="234"/>
      <c r="H423" s="238">
        <f>H422+400</f>
        <v>827.364</v>
      </c>
      <c r="I423" s="238">
        <f>11355.892+2216.888+500</f>
        <v>14072.779999999999</v>
      </c>
      <c r="J423" s="241">
        <f>J422</f>
        <v>1599.74925</v>
      </c>
      <c r="K423" s="314"/>
      <c r="L423" s="294"/>
    </row>
    <row r="424" spans="1:12" ht="20.25" customHeight="1">
      <c r="A424" s="294"/>
      <c r="B424" s="294"/>
      <c r="C424" s="115">
        <v>2021</v>
      </c>
      <c r="D424" s="129">
        <f>F424+I424+J424</f>
        <v>15620.81225</v>
      </c>
      <c r="E424" s="129">
        <v>0</v>
      </c>
      <c r="F424" s="129">
        <f>H424</f>
        <v>427.36400000000003</v>
      </c>
      <c r="G424" s="129"/>
      <c r="H424" s="126">
        <f>H423-400</f>
        <v>427.36400000000003</v>
      </c>
      <c r="I424" s="126">
        <f>11376.811+2216.888</f>
        <v>13593.699</v>
      </c>
      <c r="J424" s="93">
        <f>J423</f>
        <v>1599.74925</v>
      </c>
      <c r="K424" s="314"/>
      <c r="L424" s="294"/>
    </row>
    <row r="425" spans="1:12" ht="20.25" customHeight="1">
      <c r="A425" s="295"/>
      <c r="B425" s="295"/>
      <c r="C425" s="235">
        <v>2022</v>
      </c>
      <c r="D425" s="236">
        <f>F425+I425+J425</f>
        <v>15620.81225</v>
      </c>
      <c r="E425" s="236">
        <v>0</v>
      </c>
      <c r="F425" s="236">
        <f>H425</f>
        <v>427.36400000000003</v>
      </c>
      <c r="G425" s="236"/>
      <c r="H425" s="222">
        <f>H424</f>
        <v>427.36400000000003</v>
      </c>
      <c r="I425" s="222">
        <f>11376.811+2216.888</f>
        <v>13593.699</v>
      </c>
      <c r="J425" s="240">
        <f>J424</f>
        <v>1599.74925</v>
      </c>
      <c r="K425" s="315"/>
      <c r="L425" s="294"/>
    </row>
    <row r="426" spans="1:12" ht="20.25" customHeight="1">
      <c r="A426" s="293" t="s">
        <v>72</v>
      </c>
      <c r="B426" s="293" t="s">
        <v>280</v>
      </c>
      <c r="C426" s="115">
        <v>2017</v>
      </c>
      <c r="D426" s="129">
        <f>H426+I426</f>
        <v>7571.59784</v>
      </c>
      <c r="E426" s="129">
        <v>0</v>
      </c>
      <c r="F426" s="129">
        <f t="shared" si="6"/>
        <v>2218.895</v>
      </c>
      <c r="G426" s="129"/>
      <c r="H426" s="126">
        <v>2218.895</v>
      </c>
      <c r="I426" s="126">
        <v>5352.70284</v>
      </c>
      <c r="J426" s="93">
        <v>0</v>
      </c>
      <c r="K426" s="313" t="s">
        <v>55</v>
      </c>
      <c r="L426" s="294"/>
    </row>
    <row r="427" spans="1:12" ht="20.25" customHeight="1">
      <c r="A427" s="294"/>
      <c r="B427" s="294"/>
      <c r="C427" s="115">
        <v>2018</v>
      </c>
      <c r="D427" s="129">
        <f>E427+H427+I427+J427</f>
        <v>9132.78455</v>
      </c>
      <c r="E427" s="129">
        <v>0</v>
      </c>
      <c r="F427" s="129">
        <f t="shared" si="6"/>
        <v>2708.303</v>
      </c>
      <c r="G427" s="129"/>
      <c r="H427" s="126">
        <f>2708.303</f>
        <v>2708.303</v>
      </c>
      <c r="I427" s="126">
        <f>3875.09134+1687.55323</f>
        <v>5562.64457</v>
      </c>
      <c r="J427" s="93">
        <v>861.83698</v>
      </c>
      <c r="K427" s="314"/>
      <c r="L427" s="294"/>
    </row>
    <row r="428" spans="1:12" ht="20.25" customHeight="1">
      <c r="A428" s="294"/>
      <c r="B428" s="294"/>
      <c r="C428" s="182">
        <v>2019</v>
      </c>
      <c r="D428" s="183">
        <f>H428+I428+J428</f>
        <v>8020.1088199999995</v>
      </c>
      <c r="E428" s="183">
        <v>0</v>
      </c>
      <c r="F428" s="183">
        <f t="shared" si="6"/>
        <v>2435.886</v>
      </c>
      <c r="G428" s="183"/>
      <c r="H428" s="174">
        <v>2435.886</v>
      </c>
      <c r="I428" s="174">
        <f>2379.183+2448.161</f>
        <v>4827.344</v>
      </c>
      <c r="J428" s="188">
        <v>756.87882</v>
      </c>
      <c r="K428" s="314"/>
      <c r="L428" s="294"/>
    </row>
    <row r="429" spans="1:12" ht="20.25" customHeight="1">
      <c r="A429" s="294"/>
      <c r="B429" s="294"/>
      <c r="C429" s="233">
        <v>2020</v>
      </c>
      <c r="D429" s="234">
        <f>H429+I429+J429</f>
        <v>9721.87082</v>
      </c>
      <c r="E429" s="234">
        <v>0</v>
      </c>
      <c r="F429" s="234">
        <f t="shared" si="6"/>
        <v>2835.886</v>
      </c>
      <c r="G429" s="234"/>
      <c r="H429" s="238">
        <f>H428+400</f>
        <v>2835.886</v>
      </c>
      <c r="I429" s="238">
        <f>3180.945+2448.161+500</f>
        <v>6129.106</v>
      </c>
      <c r="J429" s="241">
        <f>J428</f>
        <v>756.87882</v>
      </c>
      <c r="K429" s="314"/>
      <c r="L429" s="294"/>
    </row>
    <row r="430" spans="1:12" ht="20.25" customHeight="1">
      <c r="A430" s="294"/>
      <c r="B430" s="294"/>
      <c r="C430" s="115">
        <v>2021</v>
      </c>
      <c r="D430" s="129">
        <f>H430+I430+J430</f>
        <v>8819.99582</v>
      </c>
      <c r="E430" s="129">
        <v>0</v>
      </c>
      <c r="F430" s="129">
        <f>H430</f>
        <v>2435.886</v>
      </c>
      <c r="G430" s="129"/>
      <c r="H430" s="126">
        <f>H429-400</f>
        <v>2435.886</v>
      </c>
      <c r="I430" s="126">
        <f>2448.161+3179.07</f>
        <v>5627.231</v>
      </c>
      <c r="J430" s="93">
        <f>J429</f>
        <v>756.87882</v>
      </c>
      <c r="K430" s="314"/>
      <c r="L430" s="294"/>
    </row>
    <row r="431" spans="1:12" ht="20.25" customHeight="1">
      <c r="A431" s="295"/>
      <c r="B431" s="295"/>
      <c r="C431" s="235">
        <v>2022</v>
      </c>
      <c r="D431" s="236">
        <f>H431+I431+J431</f>
        <v>8819.99582</v>
      </c>
      <c r="E431" s="236">
        <v>0</v>
      </c>
      <c r="F431" s="236">
        <f>H431</f>
        <v>2435.886</v>
      </c>
      <c r="G431" s="236"/>
      <c r="H431" s="222">
        <f>H430</f>
        <v>2435.886</v>
      </c>
      <c r="I431" s="222">
        <f>2448.161+3179.07</f>
        <v>5627.231</v>
      </c>
      <c r="J431" s="240">
        <f>J430</f>
        <v>756.87882</v>
      </c>
      <c r="K431" s="315"/>
      <c r="L431" s="294"/>
    </row>
    <row r="432" spans="1:12" ht="20.25" customHeight="1">
      <c r="A432" s="293" t="s">
        <v>73</v>
      </c>
      <c r="B432" s="293" t="s">
        <v>281</v>
      </c>
      <c r="C432" s="115">
        <v>2017</v>
      </c>
      <c r="D432" s="129">
        <f>H432+I432+J432</f>
        <v>7311.10506</v>
      </c>
      <c r="E432" s="129">
        <v>0</v>
      </c>
      <c r="F432" s="129">
        <f t="shared" si="6"/>
        <v>1796.192</v>
      </c>
      <c r="G432" s="129"/>
      <c r="H432" s="126">
        <v>1796.192</v>
      </c>
      <c r="I432" s="126">
        <v>5514.91306</v>
      </c>
      <c r="J432" s="93">
        <v>0</v>
      </c>
      <c r="K432" s="313" t="s">
        <v>56</v>
      </c>
      <c r="L432" s="294"/>
    </row>
    <row r="433" spans="1:12" ht="20.25" customHeight="1">
      <c r="A433" s="294"/>
      <c r="B433" s="294"/>
      <c r="C433" s="115">
        <v>2018</v>
      </c>
      <c r="D433" s="129">
        <f>E433+H433+I433+J433</f>
        <v>7880.230140000001</v>
      </c>
      <c r="E433" s="129">
        <v>0</v>
      </c>
      <c r="F433" s="129">
        <f t="shared" si="6"/>
        <v>1605.97</v>
      </c>
      <c r="G433" s="129"/>
      <c r="H433" s="126">
        <v>1605.97</v>
      </c>
      <c r="I433" s="126">
        <f>3872.66396+1732.99351</f>
        <v>5605.65747</v>
      </c>
      <c r="J433" s="93">
        <v>668.60267</v>
      </c>
      <c r="K433" s="314"/>
      <c r="L433" s="294"/>
    </row>
    <row r="434" spans="1:12" ht="20.25" customHeight="1">
      <c r="A434" s="294"/>
      <c r="B434" s="294"/>
      <c r="C434" s="182">
        <v>2019</v>
      </c>
      <c r="D434" s="183">
        <f>F434+I434+J434</f>
        <v>8228.61091</v>
      </c>
      <c r="E434" s="183">
        <v>0</v>
      </c>
      <c r="F434" s="183">
        <f t="shared" si="6"/>
        <v>1474.984</v>
      </c>
      <c r="G434" s="183"/>
      <c r="H434" s="174">
        <v>1474.984</v>
      </c>
      <c r="I434" s="174">
        <f>1840.203+1748.686+67.126</f>
        <v>3656.0150000000003</v>
      </c>
      <c r="J434" s="188">
        <v>3097.61191</v>
      </c>
      <c r="K434" s="314"/>
      <c r="L434" s="294"/>
    </row>
    <row r="435" spans="1:12" ht="20.25" customHeight="1">
      <c r="A435" s="294"/>
      <c r="B435" s="294"/>
      <c r="C435" s="233">
        <v>2020</v>
      </c>
      <c r="D435" s="234">
        <f>H435+I435+J435</f>
        <v>9798.96791</v>
      </c>
      <c r="E435" s="234">
        <v>0</v>
      </c>
      <c r="F435" s="234">
        <f t="shared" si="6"/>
        <v>1874.984</v>
      </c>
      <c r="G435" s="234"/>
      <c r="H435" s="238">
        <f>1474.984+400</f>
        <v>1874.984</v>
      </c>
      <c r="I435" s="238">
        <f>2577.686+1748.686+500</f>
        <v>4826.372</v>
      </c>
      <c r="J435" s="241">
        <f>J434</f>
        <v>3097.61191</v>
      </c>
      <c r="K435" s="314"/>
      <c r="L435" s="294"/>
    </row>
    <row r="436" spans="1:12" ht="20.25" customHeight="1">
      <c r="A436" s="294"/>
      <c r="B436" s="294"/>
      <c r="C436" s="115">
        <v>2021</v>
      </c>
      <c r="D436" s="129">
        <f>H436+I436+J436</f>
        <v>8896.392909999999</v>
      </c>
      <c r="E436" s="129">
        <v>0</v>
      </c>
      <c r="F436" s="129">
        <f>H436</f>
        <v>1474.984</v>
      </c>
      <c r="G436" s="129"/>
      <c r="H436" s="126">
        <f>H435-400</f>
        <v>1474.984</v>
      </c>
      <c r="I436" s="126">
        <f>2575.111+1748.686</f>
        <v>4323.797</v>
      </c>
      <c r="J436" s="93">
        <f>J435</f>
        <v>3097.61191</v>
      </c>
      <c r="K436" s="314"/>
      <c r="L436" s="294"/>
    </row>
    <row r="437" spans="1:12" ht="20.25" customHeight="1">
      <c r="A437" s="295"/>
      <c r="B437" s="295"/>
      <c r="C437" s="235">
        <v>2022</v>
      </c>
      <c r="D437" s="236">
        <f>H437+I437+J437</f>
        <v>8896.392909999999</v>
      </c>
      <c r="E437" s="236">
        <v>0</v>
      </c>
      <c r="F437" s="236">
        <f>H437</f>
        <v>1474.984</v>
      </c>
      <c r="G437" s="236"/>
      <c r="H437" s="222">
        <f>H436</f>
        <v>1474.984</v>
      </c>
      <c r="I437" s="222">
        <f>2575.111+1748.686</f>
        <v>4323.797</v>
      </c>
      <c r="J437" s="240">
        <f>J436</f>
        <v>3097.61191</v>
      </c>
      <c r="K437" s="315"/>
      <c r="L437" s="294"/>
    </row>
    <row r="438" spans="1:12" ht="15" customHeight="1">
      <c r="A438" s="293" t="s">
        <v>111</v>
      </c>
      <c r="B438" s="293" t="s">
        <v>282</v>
      </c>
      <c r="C438" s="115">
        <v>2017</v>
      </c>
      <c r="D438" s="129">
        <f>H438+I438</f>
        <v>1787.53995</v>
      </c>
      <c r="E438" s="129">
        <v>0</v>
      </c>
      <c r="F438" s="129"/>
      <c r="G438" s="129"/>
      <c r="H438" s="126">
        <v>0</v>
      </c>
      <c r="I438" s="126">
        <v>1787.53995</v>
      </c>
      <c r="J438" s="93">
        <v>0</v>
      </c>
      <c r="K438" s="313" t="s">
        <v>57</v>
      </c>
      <c r="L438" s="294"/>
    </row>
    <row r="439" spans="1:12" ht="14.25">
      <c r="A439" s="294"/>
      <c r="B439" s="294"/>
      <c r="C439" s="115">
        <v>2018</v>
      </c>
      <c r="D439" s="129">
        <f>E439+H439+I439+J439</f>
        <v>2010.1684899999998</v>
      </c>
      <c r="E439" s="129">
        <v>0</v>
      </c>
      <c r="F439" s="129"/>
      <c r="G439" s="129"/>
      <c r="H439" s="126">
        <v>0</v>
      </c>
      <c r="I439" s="126">
        <f>1396.513+40.091-0.01909</f>
        <v>1436.5849099999998</v>
      </c>
      <c r="J439" s="93">
        <v>573.58358</v>
      </c>
      <c r="K439" s="314"/>
      <c r="L439" s="294"/>
    </row>
    <row r="440" spans="1:12" ht="14.25">
      <c r="A440" s="294"/>
      <c r="B440" s="294"/>
      <c r="C440" s="182">
        <v>2019</v>
      </c>
      <c r="D440" s="183">
        <f>E440+I440+J440</f>
        <v>2527.52317</v>
      </c>
      <c r="E440" s="183">
        <v>0</v>
      </c>
      <c r="F440" s="183"/>
      <c r="G440" s="183"/>
      <c r="H440" s="174">
        <v>0</v>
      </c>
      <c r="I440" s="174">
        <f>2012.398</f>
        <v>2012.398</v>
      </c>
      <c r="J440" s="188">
        <v>515.12517</v>
      </c>
      <c r="K440" s="314"/>
      <c r="L440" s="294"/>
    </row>
    <row r="441" spans="1:12" ht="14.25">
      <c r="A441" s="294"/>
      <c r="B441" s="294"/>
      <c r="C441" s="233">
        <v>2020</v>
      </c>
      <c r="D441" s="234">
        <f>I441+J441</f>
        <v>2785.4171699999997</v>
      </c>
      <c r="E441" s="234">
        <v>0</v>
      </c>
      <c r="F441" s="234"/>
      <c r="G441" s="234"/>
      <c r="H441" s="238">
        <v>0</v>
      </c>
      <c r="I441" s="238">
        <f>1770.292+500</f>
        <v>2270.292</v>
      </c>
      <c r="J441" s="241">
        <f>J440</f>
        <v>515.12517</v>
      </c>
      <c r="K441" s="314"/>
      <c r="L441" s="294"/>
    </row>
    <row r="442" spans="1:12" ht="14.25">
      <c r="A442" s="294"/>
      <c r="B442" s="294"/>
      <c r="C442" s="115">
        <v>2021</v>
      </c>
      <c r="D442" s="129">
        <f>H442+I442+J442</f>
        <v>2289.82217</v>
      </c>
      <c r="E442" s="129">
        <v>0</v>
      </c>
      <c r="F442" s="129"/>
      <c r="G442" s="129"/>
      <c r="H442" s="126">
        <f>H441</f>
        <v>0</v>
      </c>
      <c r="I442" s="126">
        <f>1774.697</f>
        <v>1774.697</v>
      </c>
      <c r="J442" s="93">
        <f>J441</f>
        <v>515.12517</v>
      </c>
      <c r="K442" s="314"/>
      <c r="L442" s="294"/>
    </row>
    <row r="443" spans="1:12" ht="14.25">
      <c r="A443" s="295"/>
      <c r="B443" s="295"/>
      <c r="C443" s="235">
        <v>2022</v>
      </c>
      <c r="D443" s="236">
        <f>H443+I443+J443</f>
        <v>2289.82217</v>
      </c>
      <c r="E443" s="236">
        <v>0</v>
      </c>
      <c r="F443" s="236"/>
      <c r="G443" s="236"/>
      <c r="H443" s="222">
        <f>H442</f>
        <v>0</v>
      </c>
      <c r="I443" s="222">
        <f>1774.697</f>
        <v>1774.697</v>
      </c>
      <c r="J443" s="240">
        <f>J442</f>
        <v>515.12517</v>
      </c>
      <c r="K443" s="315"/>
      <c r="L443" s="294"/>
    </row>
    <row r="444" spans="1:12" ht="15" customHeight="1">
      <c r="A444" s="293" t="s">
        <v>112</v>
      </c>
      <c r="B444" s="293" t="s">
        <v>283</v>
      </c>
      <c r="C444" s="115">
        <v>2017</v>
      </c>
      <c r="D444" s="129">
        <f>H444+I444</f>
        <v>3025.10411</v>
      </c>
      <c r="E444" s="129">
        <v>0</v>
      </c>
      <c r="F444" s="129">
        <f>H444+G444</f>
        <v>1177.145</v>
      </c>
      <c r="G444" s="129"/>
      <c r="H444" s="126">
        <v>1177.145</v>
      </c>
      <c r="I444" s="126">
        <v>1847.95911</v>
      </c>
      <c r="J444" s="93">
        <v>0</v>
      </c>
      <c r="K444" s="310" t="s">
        <v>58</v>
      </c>
      <c r="L444" s="294"/>
    </row>
    <row r="445" spans="1:12" ht="14.25">
      <c r="A445" s="294"/>
      <c r="B445" s="294"/>
      <c r="C445" s="115">
        <v>2018</v>
      </c>
      <c r="D445" s="129">
        <f>E445+H445+I445</f>
        <v>2856.56973</v>
      </c>
      <c r="E445" s="129">
        <v>0</v>
      </c>
      <c r="F445" s="129">
        <f aca="true" t="shared" si="7" ref="F445:F453">G445+H445</f>
        <v>1236.702</v>
      </c>
      <c r="G445" s="129"/>
      <c r="H445" s="126">
        <v>1236.702</v>
      </c>
      <c r="I445" s="126">
        <f>583.44253+1036.4252</f>
        <v>1619.86773</v>
      </c>
      <c r="J445" s="93">
        <v>0</v>
      </c>
      <c r="K445" s="311"/>
      <c r="L445" s="294"/>
    </row>
    <row r="446" spans="1:12" ht="15" customHeight="1">
      <c r="A446" s="294"/>
      <c r="B446" s="294"/>
      <c r="C446" s="182">
        <v>2019</v>
      </c>
      <c r="D446" s="183">
        <f>H446+I446+J446</f>
        <v>3233.91</v>
      </c>
      <c r="E446" s="183">
        <v>0</v>
      </c>
      <c r="F446" s="183">
        <f t="shared" si="7"/>
        <v>1262.191</v>
      </c>
      <c r="G446" s="183"/>
      <c r="H446" s="174">
        <f>1262.191</f>
        <v>1262.191</v>
      </c>
      <c r="I446" s="174">
        <f>660.205+1311.514</f>
        <v>1971.719</v>
      </c>
      <c r="J446" s="188">
        <v>0</v>
      </c>
      <c r="K446" s="311"/>
      <c r="L446" s="294"/>
    </row>
    <row r="447" spans="1:12" ht="14.25">
      <c r="A447" s="294"/>
      <c r="B447" s="294"/>
      <c r="C447" s="233">
        <v>2020</v>
      </c>
      <c r="D447" s="234">
        <f>H447+I447+J447</f>
        <v>4101.91</v>
      </c>
      <c r="E447" s="234">
        <v>0</v>
      </c>
      <c r="F447" s="234">
        <f t="shared" si="7"/>
        <v>1662.191</v>
      </c>
      <c r="G447" s="234"/>
      <c r="H447" s="238">
        <f>1262.191+400</f>
        <v>1662.191</v>
      </c>
      <c r="I447" s="238">
        <f>628.205+1311.514+500</f>
        <v>2439.719</v>
      </c>
      <c r="J447" s="241">
        <v>0</v>
      </c>
      <c r="K447" s="311"/>
      <c r="L447" s="294"/>
    </row>
    <row r="448" spans="1:12" ht="14.25">
      <c r="A448" s="294"/>
      <c r="B448" s="294"/>
      <c r="C448" s="115">
        <v>2021</v>
      </c>
      <c r="D448" s="129">
        <f>H448+I448+J448</f>
        <v>3701.91</v>
      </c>
      <c r="E448" s="129"/>
      <c r="F448" s="129">
        <f>H448</f>
        <v>1262.191</v>
      </c>
      <c r="G448" s="129"/>
      <c r="H448" s="126">
        <f>H447-400</f>
        <v>1262.191</v>
      </c>
      <c r="I448" s="126">
        <f>I447</f>
        <v>2439.719</v>
      </c>
      <c r="J448" s="93">
        <f>J24</f>
        <v>0</v>
      </c>
      <c r="K448" s="311"/>
      <c r="L448" s="294"/>
    </row>
    <row r="449" spans="1:12" ht="14.25">
      <c r="A449" s="295"/>
      <c r="B449" s="295"/>
      <c r="C449" s="235">
        <v>2022</v>
      </c>
      <c r="D449" s="236">
        <f>H449+I449+J449</f>
        <v>3701.91</v>
      </c>
      <c r="E449" s="236"/>
      <c r="F449" s="236">
        <f>H449</f>
        <v>1262.191</v>
      </c>
      <c r="G449" s="236"/>
      <c r="H449" s="222">
        <f>H448</f>
        <v>1262.191</v>
      </c>
      <c r="I449" s="222">
        <f>I448</f>
        <v>2439.719</v>
      </c>
      <c r="J449" s="240">
        <f>J25</f>
        <v>0</v>
      </c>
      <c r="K449" s="312"/>
      <c r="L449" s="294"/>
    </row>
    <row r="450" spans="1:12" ht="15" customHeight="1">
      <c r="A450" s="293" t="s">
        <v>113</v>
      </c>
      <c r="B450" s="293" t="s">
        <v>284</v>
      </c>
      <c r="C450" s="115">
        <v>2017</v>
      </c>
      <c r="D450" s="129">
        <f>H450+I450</f>
        <v>9997.699139999999</v>
      </c>
      <c r="E450" s="129">
        <v>0</v>
      </c>
      <c r="F450" s="129">
        <f t="shared" si="7"/>
        <v>1384.168</v>
      </c>
      <c r="G450" s="129"/>
      <c r="H450" s="126">
        <v>1384.168</v>
      </c>
      <c r="I450" s="126">
        <v>8613.53114</v>
      </c>
      <c r="J450" s="93">
        <v>0</v>
      </c>
      <c r="K450" s="313" t="s">
        <v>51</v>
      </c>
      <c r="L450" s="294"/>
    </row>
    <row r="451" spans="1:12" ht="14.25">
      <c r="A451" s="294"/>
      <c r="B451" s="294"/>
      <c r="C451" s="115">
        <v>2018</v>
      </c>
      <c r="D451" s="129">
        <f>E451+H451+I451+J451</f>
        <v>10560.688610000001</v>
      </c>
      <c r="E451" s="129">
        <v>0</v>
      </c>
      <c r="F451" s="129">
        <f t="shared" si="7"/>
        <v>1521.225</v>
      </c>
      <c r="G451" s="129"/>
      <c r="H451" s="126">
        <v>1521.225</v>
      </c>
      <c r="I451" s="126">
        <f>6645.89375+1374.32557</f>
        <v>8020.21932</v>
      </c>
      <c r="J451" s="93">
        <v>1019.24429</v>
      </c>
      <c r="K451" s="314"/>
      <c r="L451" s="294"/>
    </row>
    <row r="452" spans="1:12" ht="14.25">
      <c r="A452" s="294"/>
      <c r="B452" s="294"/>
      <c r="C452" s="182">
        <v>2019</v>
      </c>
      <c r="D452" s="183">
        <f>F452+I452+J452</f>
        <v>10115.66729</v>
      </c>
      <c r="E452" s="183">
        <v>0</v>
      </c>
      <c r="F452" s="183">
        <f t="shared" si="7"/>
        <v>1514.039</v>
      </c>
      <c r="G452" s="183"/>
      <c r="H452" s="174">
        <v>1514.039</v>
      </c>
      <c r="I452" s="174">
        <f>5618.73+1748.686+256.4854</f>
        <v>7623.901399999999</v>
      </c>
      <c r="J452" s="188">
        <v>977.72689</v>
      </c>
      <c r="K452" s="314"/>
      <c r="L452" s="294"/>
    </row>
    <row r="453" spans="1:12" ht="14.25">
      <c r="A453" s="294"/>
      <c r="B453" s="294"/>
      <c r="C453" s="233">
        <v>2020</v>
      </c>
      <c r="D453" s="234">
        <f>F453+I453+J453</f>
        <v>9267.56789</v>
      </c>
      <c r="E453" s="234">
        <v>0</v>
      </c>
      <c r="F453" s="234">
        <f t="shared" si="7"/>
        <v>1914.039</v>
      </c>
      <c r="G453" s="234"/>
      <c r="H453" s="238">
        <f>H452+400</f>
        <v>1914.039</v>
      </c>
      <c r="I453" s="238">
        <f>4127.116+1748.686+500</f>
        <v>6375.802</v>
      </c>
      <c r="J453" s="241">
        <f>J452</f>
        <v>977.72689</v>
      </c>
      <c r="K453" s="314"/>
      <c r="L453" s="294"/>
    </row>
    <row r="454" spans="1:12" ht="14.25">
      <c r="A454" s="294"/>
      <c r="B454" s="294"/>
      <c r="C454" s="115">
        <v>2021</v>
      </c>
      <c r="D454" s="129">
        <f>F454+J454+I454</f>
        <v>8748.81789</v>
      </c>
      <c r="E454" s="129">
        <v>0</v>
      </c>
      <c r="F454" s="129">
        <f>F453</f>
        <v>1914.039</v>
      </c>
      <c r="G454" s="129"/>
      <c r="H454" s="126">
        <f>H453-400</f>
        <v>1514.039</v>
      </c>
      <c r="I454" s="126">
        <f>4108.366+1748.686</f>
        <v>5857.052</v>
      </c>
      <c r="J454" s="93">
        <f>J453</f>
        <v>977.72689</v>
      </c>
      <c r="K454" s="314"/>
      <c r="L454" s="294"/>
    </row>
    <row r="455" spans="1:12" ht="14.25">
      <c r="A455" s="295"/>
      <c r="B455" s="295"/>
      <c r="C455" s="235">
        <v>2022</v>
      </c>
      <c r="D455" s="236">
        <f>F455+J455+I455</f>
        <v>8748.81789</v>
      </c>
      <c r="E455" s="236">
        <v>0</v>
      </c>
      <c r="F455" s="236">
        <f>F454</f>
        <v>1914.039</v>
      </c>
      <c r="G455" s="236"/>
      <c r="H455" s="222">
        <f>H454</f>
        <v>1514.039</v>
      </c>
      <c r="I455" s="222">
        <f>4108.366+1748.686</f>
        <v>5857.052</v>
      </c>
      <c r="J455" s="240">
        <f>J454</f>
        <v>977.72689</v>
      </c>
      <c r="K455" s="315"/>
      <c r="L455" s="294"/>
    </row>
    <row r="456" spans="1:12" ht="14.25" customHeight="1">
      <c r="A456" s="316" t="s">
        <v>182</v>
      </c>
      <c r="B456" s="316" t="s">
        <v>231</v>
      </c>
      <c r="C456" s="118">
        <v>2017</v>
      </c>
      <c r="D456" s="129">
        <f>I456</f>
        <v>11000</v>
      </c>
      <c r="E456" s="129">
        <v>0</v>
      </c>
      <c r="F456" s="129"/>
      <c r="G456" s="129"/>
      <c r="H456" s="126">
        <v>0</v>
      </c>
      <c r="I456" s="126">
        <v>11000</v>
      </c>
      <c r="J456" s="93">
        <v>0</v>
      </c>
      <c r="K456" s="99"/>
      <c r="L456" s="294"/>
    </row>
    <row r="457" spans="1:12" ht="14.25" customHeight="1">
      <c r="A457" s="316"/>
      <c r="B457" s="316"/>
      <c r="C457" s="118">
        <v>2018</v>
      </c>
      <c r="D457" s="96">
        <f>I457</f>
        <v>0</v>
      </c>
      <c r="E457" s="96">
        <v>0</v>
      </c>
      <c r="F457" s="96"/>
      <c r="G457" s="96"/>
      <c r="H457" s="143">
        <v>0</v>
      </c>
      <c r="I457" s="143">
        <v>0</v>
      </c>
      <c r="J457" s="100">
        <v>0</v>
      </c>
      <c r="K457" s="99"/>
      <c r="L457" s="294"/>
    </row>
    <row r="458" spans="1:12" ht="14.25">
      <c r="A458" s="316"/>
      <c r="B458" s="316"/>
      <c r="C458" s="118">
        <v>2019</v>
      </c>
      <c r="D458" s="96">
        <v>0</v>
      </c>
      <c r="E458" s="96">
        <v>0</v>
      </c>
      <c r="F458" s="96"/>
      <c r="G458" s="96"/>
      <c r="H458" s="143">
        <v>0</v>
      </c>
      <c r="I458" s="143">
        <v>0</v>
      </c>
      <c r="J458" s="100">
        <v>0</v>
      </c>
      <c r="K458" s="99"/>
      <c r="L458" s="294"/>
    </row>
    <row r="459" spans="1:12" ht="14.25">
      <c r="A459" s="316"/>
      <c r="B459" s="316"/>
      <c r="C459" s="119">
        <v>2020</v>
      </c>
      <c r="D459" s="101">
        <v>0</v>
      </c>
      <c r="E459" s="101">
        <v>0</v>
      </c>
      <c r="F459" s="101"/>
      <c r="G459" s="101"/>
      <c r="H459" s="102">
        <v>0</v>
      </c>
      <c r="I459" s="102">
        <v>0</v>
      </c>
      <c r="J459" s="101">
        <v>0</v>
      </c>
      <c r="K459" s="99"/>
      <c r="L459" s="294"/>
    </row>
    <row r="460" spans="1:12" ht="14.25">
      <c r="A460" s="316"/>
      <c r="B460" s="316"/>
      <c r="C460" s="119">
        <v>2021</v>
      </c>
      <c r="D460" s="101">
        <v>0</v>
      </c>
      <c r="E460" s="101">
        <v>0</v>
      </c>
      <c r="F460" s="101"/>
      <c r="G460" s="101"/>
      <c r="H460" s="102">
        <v>0</v>
      </c>
      <c r="I460" s="102">
        <v>0</v>
      </c>
      <c r="J460" s="101">
        <v>0</v>
      </c>
      <c r="K460" s="99"/>
      <c r="L460" s="294"/>
    </row>
    <row r="461" spans="1:12" ht="14.25">
      <c r="A461" s="316"/>
      <c r="B461" s="316"/>
      <c r="C461" s="119">
        <v>2022</v>
      </c>
      <c r="D461" s="101">
        <v>0</v>
      </c>
      <c r="E461" s="101">
        <v>0</v>
      </c>
      <c r="F461" s="101"/>
      <c r="G461" s="101"/>
      <c r="H461" s="102">
        <v>0</v>
      </c>
      <c r="I461" s="102">
        <v>0</v>
      </c>
      <c r="J461" s="101">
        <v>0</v>
      </c>
      <c r="K461" s="99"/>
      <c r="L461" s="294"/>
    </row>
    <row r="462" spans="1:12" ht="14.25" customHeight="1">
      <c r="A462" s="319" t="s">
        <v>168</v>
      </c>
      <c r="B462" s="319"/>
      <c r="C462" s="114">
        <v>2017</v>
      </c>
      <c r="D462" s="207">
        <f>H462+I462</f>
        <v>71267.23366</v>
      </c>
      <c r="E462" s="207">
        <v>0</v>
      </c>
      <c r="F462" s="207">
        <f>H462+G462</f>
        <v>9022.5</v>
      </c>
      <c r="G462" s="207"/>
      <c r="H462" s="207">
        <f>H450+H444+H432+H426+H420+H414</f>
        <v>9022.5</v>
      </c>
      <c r="I462" s="207">
        <f>I450+I444+I438+I432+I426+I420+I414+I456</f>
        <v>62244.73366</v>
      </c>
      <c r="J462" s="100">
        <v>0</v>
      </c>
      <c r="K462" s="103"/>
      <c r="L462" s="295"/>
    </row>
    <row r="463" spans="1:12" ht="14.25">
      <c r="A463" s="319"/>
      <c r="B463" s="319"/>
      <c r="C463" s="114">
        <v>2018</v>
      </c>
      <c r="D463" s="207">
        <f>H463+I463+J463</f>
        <v>64692.00684</v>
      </c>
      <c r="E463" s="207">
        <f>E167+E173+E179+E185+E392+E393+E401+E402+E403+E412+E416+E422+E428+E434+E435+E439+E445+E451+E407</f>
        <v>0</v>
      </c>
      <c r="F463" s="207">
        <f>G463+H463</f>
        <v>10191.218</v>
      </c>
      <c r="G463" s="207"/>
      <c r="H463" s="207">
        <f>H415+H421+H427+H433+H445+H451</f>
        <v>10191.218</v>
      </c>
      <c r="I463" s="207">
        <f>I415+I421+I427+I433+I439+I445+I451+I457</f>
        <v>48561.75009</v>
      </c>
      <c r="J463" s="104">
        <f>J451+J445+J439+J433+J427+J421+J415</f>
        <v>5939.03875</v>
      </c>
      <c r="K463" s="94"/>
      <c r="L463" s="97"/>
    </row>
    <row r="464" spans="1:12" ht="14.25">
      <c r="A464" s="319"/>
      <c r="B464" s="319"/>
      <c r="C464" s="114">
        <v>2019</v>
      </c>
      <c r="D464" s="207">
        <f>E464+H464+I464+J464</f>
        <v>61814.48159999999</v>
      </c>
      <c r="E464" s="207">
        <f>E165+E171+E177+E183+E394+E408+E413+E417+E423+E429+E440+E446+E452</f>
        <v>0</v>
      </c>
      <c r="F464" s="207">
        <f>G464+H464</f>
        <v>10586.964000000002</v>
      </c>
      <c r="G464" s="207"/>
      <c r="H464" s="207">
        <f>H416+H422+H428+H434+H446+H452</f>
        <v>10586.964000000002</v>
      </c>
      <c r="I464" s="207">
        <f>I416+I422+I428+I434+I440+I446+I452</f>
        <v>43230.74411999999</v>
      </c>
      <c r="J464" s="104">
        <f>J452+J446+J440+J434+J428+J422+J416</f>
        <v>7996.773480000001</v>
      </c>
      <c r="K464" s="94"/>
      <c r="L464" s="95"/>
    </row>
    <row r="465" spans="1:12" ht="14.25">
      <c r="A465" s="319"/>
      <c r="B465" s="319"/>
      <c r="C465" s="114">
        <v>2020</v>
      </c>
      <c r="D465" s="207">
        <f>H465+I465+J465</f>
        <v>66509.42547999999</v>
      </c>
      <c r="E465" s="207">
        <f>E166+E178+E184+E399+E410+E415+E421+E427+E433+E441+E447+E453</f>
        <v>0</v>
      </c>
      <c r="F465" s="207">
        <f>H465+G465</f>
        <v>12986.964000000002</v>
      </c>
      <c r="G465" s="207"/>
      <c r="H465" s="207">
        <f>H417+H423+H429+H435+H447+H453</f>
        <v>12986.964000000002</v>
      </c>
      <c r="I465" s="207">
        <f>I417+I423+I429+I435+I441+I447+I453</f>
        <v>45525.687999999995</v>
      </c>
      <c r="J465" s="104">
        <f>J453+J447+J441+J435+J429+J423+J417</f>
        <v>7996.773480000001</v>
      </c>
      <c r="K465" s="94"/>
      <c r="L465" s="95"/>
    </row>
    <row r="466" spans="1:12" ht="14.25">
      <c r="A466" s="319"/>
      <c r="B466" s="319"/>
      <c r="C466" s="120">
        <v>2021</v>
      </c>
      <c r="D466" s="105">
        <f>H466+I466+J466</f>
        <v>61109.425480000005</v>
      </c>
      <c r="E466" s="105">
        <v>0</v>
      </c>
      <c r="F466" s="105">
        <f>H466</f>
        <v>10586.964</v>
      </c>
      <c r="G466" s="105"/>
      <c r="H466" s="105">
        <f>H460+H454+H448+H442+H436+H430+H424+H418</f>
        <v>10586.964</v>
      </c>
      <c r="I466" s="105">
        <f>I460+I454+I448+I442+I436+I424+I418+I430</f>
        <v>42525.688</v>
      </c>
      <c r="J466" s="105">
        <f>J460+J454+J448+J442+J436+J430+J424+J418</f>
        <v>7996.773480000001</v>
      </c>
      <c r="K466" s="105"/>
      <c r="L466" s="95"/>
    </row>
    <row r="467" spans="1:12" ht="14.25">
      <c r="A467" s="319"/>
      <c r="B467" s="319"/>
      <c r="C467" s="120">
        <v>2022</v>
      </c>
      <c r="D467" s="105">
        <f>H467+I467+J467</f>
        <v>61109.425480000005</v>
      </c>
      <c r="E467" s="105">
        <v>0</v>
      </c>
      <c r="F467" s="105">
        <f>H467</f>
        <v>10586.964</v>
      </c>
      <c r="G467" s="105"/>
      <c r="H467" s="105">
        <f>H455+H449+H443+H437+H431+H425+H419</f>
        <v>10586.964</v>
      </c>
      <c r="I467" s="105">
        <f>I455+I449+I443+I437+I431+I425+I419</f>
        <v>42525.688</v>
      </c>
      <c r="J467" s="105">
        <f>J455+J449+J443+J437+J431+J425+J419</f>
        <v>7996.773480000001</v>
      </c>
      <c r="K467" s="105"/>
      <c r="L467" s="95"/>
    </row>
    <row r="468" spans="1:12" ht="14.25" customHeight="1">
      <c r="A468" s="330" t="s">
        <v>98</v>
      </c>
      <c r="B468" s="331"/>
      <c r="C468" s="331"/>
      <c r="D468" s="331"/>
      <c r="E468" s="331"/>
      <c r="F468" s="331"/>
      <c r="G468" s="331"/>
      <c r="H468" s="331"/>
      <c r="I468" s="331"/>
      <c r="J468" s="332"/>
      <c r="K468" s="106"/>
      <c r="L468" s="105"/>
    </row>
    <row r="469" spans="1:12" ht="14.25">
      <c r="A469" s="93" t="s">
        <v>150</v>
      </c>
      <c r="B469" s="107" t="s">
        <v>151</v>
      </c>
      <c r="C469" s="108"/>
      <c r="D469" s="108"/>
      <c r="E469" s="108"/>
      <c r="F469" s="108"/>
      <c r="G469" s="108"/>
      <c r="H469" s="108"/>
      <c r="I469" s="108"/>
      <c r="J469" s="108"/>
      <c r="K469" s="108"/>
      <c r="L469" s="106"/>
    </row>
    <row r="470" spans="1:12" ht="28.5" customHeight="1" hidden="1">
      <c r="A470" s="93"/>
      <c r="B470" s="320"/>
      <c r="C470" s="320"/>
      <c r="D470" s="320"/>
      <c r="E470" s="320"/>
      <c r="F470" s="320"/>
      <c r="G470" s="320"/>
      <c r="H470" s="320"/>
      <c r="I470" s="320"/>
      <c r="J470" s="320"/>
      <c r="K470" s="320"/>
      <c r="L470" s="320"/>
    </row>
    <row r="471" spans="1:12" ht="21" customHeight="1">
      <c r="A471" s="321" t="s">
        <v>99</v>
      </c>
      <c r="B471" s="321" t="s">
        <v>152</v>
      </c>
      <c r="C471" s="132">
        <v>2017</v>
      </c>
      <c r="D471" s="143">
        <f>H471</f>
        <v>16.3</v>
      </c>
      <c r="E471" s="143">
        <v>0</v>
      </c>
      <c r="F471" s="143"/>
      <c r="G471" s="143"/>
      <c r="H471" s="143">
        <v>16.3</v>
      </c>
      <c r="I471" s="130">
        <v>0</v>
      </c>
      <c r="J471" s="130">
        <v>0</v>
      </c>
      <c r="K471" s="108"/>
      <c r="L471" s="296" t="s">
        <v>152</v>
      </c>
    </row>
    <row r="472" spans="1:12" ht="18.75" customHeight="1">
      <c r="A472" s="322"/>
      <c r="B472" s="322"/>
      <c r="C472" s="115">
        <v>2018</v>
      </c>
      <c r="D472" s="129">
        <f>SUM(E472:I472)</f>
        <v>16.2</v>
      </c>
      <c r="E472" s="92">
        <v>0</v>
      </c>
      <c r="F472" s="92"/>
      <c r="G472" s="92"/>
      <c r="H472" s="129">
        <v>16.2</v>
      </c>
      <c r="I472" s="129">
        <v>0</v>
      </c>
      <c r="J472" s="129">
        <v>0</v>
      </c>
      <c r="K472" s="109"/>
      <c r="L472" s="297"/>
    </row>
    <row r="473" spans="1:12" ht="14.25">
      <c r="A473" s="322"/>
      <c r="B473" s="322"/>
      <c r="C473" s="182">
        <v>2019</v>
      </c>
      <c r="D473" s="183">
        <f>F473</f>
        <v>16</v>
      </c>
      <c r="E473" s="186">
        <v>0</v>
      </c>
      <c r="F473" s="186">
        <f>H473</f>
        <v>16</v>
      </c>
      <c r="G473" s="186"/>
      <c r="H473" s="183">
        <v>16</v>
      </c>
      <c r="I473" s="183">
        <v>0</v>
      </c>
      <c r="J473" s="129">
        <v>0</v>
      </c>
      <c r="K473" s="109"/>
      <c r="L473" s="297"/>
    </row>
    <row r="474" spans="1:12" ht="14.25">
      <c r="A474" s="322"/>
      <c r="B474" s="322"/>
      <c r="C474" s="115">
        <v>2020</v>
      </c>
      <c r="D474" s="129">
        <f>SUM(E474:I474)</f>
        <v>20</v>
      </c>
      <c r="E474" s="92">
        <v>0</v>
      </c>
      <c r="F474" s="92"/>
      <c r="G474" s="92"/>
      <c r="H474" s="129">
        <v>20</v>
      </c>
      <c r="I474" s="129">
        <v>0</v>
      </c>
      <c r="J474" s="129">
        <v>0</v>
      </c>
      <c r="K474" s="109"/>
      <c r="L474" s="297"/>
    </row>
    <row r="475" spans="1:12" ht="14.25">
      <c r="A475" s="322"/>
      <c r="B475" s="322"/>
      <c r="C475" s="115">
        <v>2021</v>
      </c>
      <c r="D475" s="129">
        <f>H475</f>
        <v>16</v>
      </c>
      <c r="E475" s="92"/>
      <c r="F475" s="92"/>
      <c r="G475" s="92"/>
      <c r="H475" s="129">
        <v>16</v>
      </c>
      <c r="I475" s="129"/>
      <c r="J475" s="129"/>
      <c r="K475" s="109"/>
      <c r="L475" s="297"/>
    </row>
    <row r="476" spans="1:12" ht="14.25">
      <c r="A476" s="323"/>
      <c r="B476" s="323"/>
      <c r="C476" s="115">
        <v>2022</v>
      </c>
      <c r="D476" s="202">
        <f>H476</f>
        <v>16</v>
      </c>
      <c r="E476" s="207"/>
      <c r="F476" s="207"/>
      <c r="G476" s="207"/>
      <c r="H476" s="202">
        <v>16</v>
      </c>
      <c r="I476" s="202"/>
      <c r="J476" s="202"/>
      <c r="K476" s="109"/>
      <c r="L476" s="297"/>
    </row>
    <row r="477" spans="1:12" ht="14.25" customHeight="1">
      <c r="A477" s="324" t="s">
        <v>168</v>
      </c>
      <c r="B477" s="325"/>
      <c r="C477" s="114">
        <v>2017</v>
      </c>
      <c r="D477" s="92">
        <f>H477</f>
        <v>16.3</v>
      </c>
      <c r="E477" s="92">
        <v>0</v>
      </c>
      <c r="F477" s="92"/>
      <c r="G477" s="92"/>
      <c r="H477" s="92">
        <f>H471</f>
        <v>16.3</v>
      </c>
      <c r="I477" s="129">
        <v>0</v>
      </c>
      <c r="J477" s="129">
        <v>0</v>
      </c>
      <c r="K477" s="109"/>
      <c r="L477" s="297"/>
    </row>
    <row r="478" spans="1:12" ht="14.25">
      <c r="A478" s="326"/>
      <c r="B478" s="327"/>
      <c r="C478" s="114">
        <v>2018</v>
      </c>
      <c r="D478" s="92">
        <f>E478+H478+I478</f>
        <v>16.2</v>
      </c>
      <c r="E478" s="92">
        <f>E178+E184+E394+E398+E402+E403+E407+E415+E416+E417+E428+E434+E440+E446+E452+E453+E463+E466+E472+E421</f>
        <v>0</v>
      </c>
      <c r="F478" s="92"/>
      <c r="G478" s="92"/>
      <c r="H478" s="92">
        <f aca="true" t="shared" si="8" ref="H478:I480">H472</f>
        <v>16.2</v>
      </c>
      <c r="I478" s="92">
        <v>0</v>
      </c>
      <c r="J478" s="110">
        <v>0</v>
      </c>
      <c r="K478" s="94"/>
      <c r="L478" s="297"/>
    </row>
    <row r="479" spans="1:12" ht="14.25">
      <c r="A479" s="326"/>
      <c r="B479" s="327"/>
      <c r="C479" s="248">
        <v>2019</v>
      </c>
      <c r="D479" s="249">
        <f>E479+H479+I479</f>
        <v>16</v>
      </c>
      <c r="E479" s="249">
        <f>E179+E185+E395+E399+E408+E422+E429+E435+E441+E447+E464+E468+E473</f>
        <v>0</v>
      </c>
      <c r="F479" s="249"/>
      <c r="G479" s="249"/>
      <c r="H479" s="249">
        <f>16</f>
        <v>16</v>
      </c>
      <c r="I479" s="249">
        <f t="shared" si="8"/>
        <v>0</v>
      </c>
      <c r="J479" s="252">
        <v>0</v>
      </c>
      <c r="K479" s="94"/>
      <c r="L479" s="297"/>
    </row>
    <row r="480" spans="1:12" ht="14.25">
      <c r="A480" s="326"/>
      <c r="B480" s="327"/>
      <c r="C480" s="114">
        <v>2020</v>
      </c>
      <c r="D480" s="92">
        <f>E480+H480+I480</f>
        <v>20</v>
      </c>
      <c r="E480" s="92">
        <f>E183+E392+E397+E401+E413+E427+E433+E439+E445+E451+E465+E469+E474</f>
        <v>0</v>
      </c>
      <c r="F480" s="92"/>
      <c r="G480" s="92"/>
      <c r="H480" s="92">
        <v>20</v>
      </c>
      <c r="I480" s="92">
        <f t="shared" si="8"/>
        <v>0</v>
      </c>
      <c r="J480" s="110">
        <v>0</v>
      </c>
      <c r="K480" s="94"/>
      <c r="L480" s="297"/>
    </row>
    <row r="481" spans="1:12" ht="14.25">
      <c r="A481" s="326"/>
      <c r="B481" s="327"/>
      <c r="C481" s="114">
        <v>2021</v>
      </c>
      <c r="D481" s="92">
        <f>H481</f>
        <v>16</v>
      </c>
      <c r="E481" s="92">
        <v>0</v>
      </c>
      <c r="F481" s="92"/>
      <c r="G481" s="92"/>
      <c r="H481" s="92">
        <f>H475</f>
        <v>16</v>
      </c>
      <c r="I481" s="92">
        <v>0</v>
      </c>
      <c r="J481" s="110">
        <v>0</v>
      </c>
      <c r="K481" s="94"/>
      <c r="L481" s="297"/>
    </row>
    <row r="482" spans="1:12" ht="14.25">
      <c r="A482" s="328"/>
      <c r="B482" s="329"/>
      <c r="C482" s="114">
        <v>2022</v>
      </c>
      <c r="D482" s="207">
        <f>H482</f>
        <v>16</v>
      </c>
      <c r="E482" s="207">
        <f>+F480</f>
        <v>0</v>
      </c>
      <c r="F482" s="207"/>
      <c r="G482" s="207"/>
      <c r="H482" s="207">
        <v>16</v>
      </c>
      <c r="I482" s="207">
        <v>0</v>
      </c>
      <c r="J482" s="110">
        <v>0</v>
      </c>
      <c r="K482" s="94"/>
      <c r="L482" s="298"/>
    </row>
    <row r="483" spans="1:12" ht="14.25" customHeight="1">
      <c r="A483" s="319" t="s">
        <v>59</v>
      </c>
      <c r="B483" s="319"/>
      <c r="C483" s="114">
        <v>2017</v>
      </c>
      <c r="D483" s="92">
        <f>I483+H483</f>
        <v>83485.04676000001</v>
      </c>
      <c r="E483" s="92">
        <v>0</v>
      </c>
      <c r="F483" s="92">
        <f>H483+G483</f>
        <v>9038.8</v>
      </c>
      <c r="G483" s="92"/>
      <c r="H483" s="92">
        <f>H462+H477</f>
        <v>9038.8</v>
      </c>
      <c r="I483" s="92">
        <f>I477+I462+I406+I391+I116</f>
        <v>74446.24676000001</v>
      </c>
      <c r="J483" s="110">
        <v>0</v>
      </c>
      <c r="K483" s="94"/>
      <c r="L483" s="95"/>
    </row>
    <row r="484" spans="1:12" ht="14.25" customHeight="1">
      <c r="A484" s="319"/>
      <c r="B484" s="319"/>
      <c r="C484" s="114">
        <v>2018</v>
      </c>
      <c r="D484" s="92">
        <f>E484+H484+I484+J484</f>
        <v>81020.64127</v>
      </c>
      <c r="E484" s="92">
        <f>SUM(E18+E24+E31+E37+E45+E55+E66+E72+E78+E84+E89+E98+E159+E165+E171+E183+E401+E415+E421+E427+E433+E439+E445+E451+E472)</f>
        <v>0</v>
      </c>
      <c r="F484" s="92">
        <f>G484+H484</f>
        <v>10207.418000000001</v>
      </c>
      <c r="G484" s="92"/>
      <c r="H484" s="92">
        <f>SUM(H18+H24+H31+H37+H45+H55+H66+H72+H78+H84+H89+H98+H159+H165+H171+H183+H401+H415+H421+H427+H433+H439+H445+H451+H472)</f>
        <v>10207.418000000001</v>
      </c>
      <c r="I484" s="92">
        <f>I463+I407+I392+I117</f>
        <v>64874.184519999995</v>
      </c>
      <c r="J484" s="92">
        <f>J463</f>
        <v>5939.03875</v>
      </c>
      <c r="K484" s="109"/>
      <c r="L484" s="95"/>
    </row>
    <row r="485" spans="1:12" ht="14.25">
      <c r="A485" s="319"/>
      <c r="B485" s="319"/>
      <c r="C485" s="248">
        <v>2019</v>
      </c>
      <c r="D485" s="249">
        <f>H485+I485+J485</f>
        <v>85890.21108000001</v>
      </c>
      <c r="E485" s="249">
        <f>SUM(E19+E25+E32+E38+E46+E58+E67+E73+E79+E85+E92+E99+E161+E166+E172+E184+E402+E416+E422+E428+E434+E440+E446+E452+E473)</f>
        <v>0</v>
      </c>
      <c r="F485" s="249">
        <f>G485+H485</f>
        <v>10602.964000000002</v>
      </c>
      <c r="G485" s="249"/>
      <c r="H485" s="249">
        <f>H464+H479+H393</f>
        <v>10602.964000000002</v>
      </c>
      <c r="I485" s="249">
        <f>I464+I408+I393+I118</f>
        <v>67290.4736</v>
      </c>
      <c r="J485" s="249">
        <f>J464</f>
        <v>7996.773480000001</v>
      </c>
      <c r="K485" s="109"/>
      <c r="L485" s="97"/>
    </row>
    <row r="486" spans="1:12" ht="14.25">
      <c r="A486" s="319"/>
      <c r="B486" s="319"/>
      <c r="C486" s="114">
        <v>2020</v>
      </c>
      <c r="D486" s="92">
        <f>H486+I486+J486</f>
        <v>78046.83748</v>
      </c>
      <c r="E486" s="92">
        <f>SUM(E20+E26+E33+E39+E48+E60+E68+E74+E80+E86+E94+E107+E167+E173+E185+E403+E417+E423+E429+E435+E441+E447+E453+E474)</f>
        <v>0</v>
      </c>
      <c r="F486" s="92">
        <f>H486+G486</f>
        <v>13006.964000000002</v>
      </c>
      <c r="G486" s="92"/>
      <c r="H486" s="92">
        <f>H465+H480</f>
        <v>13006.964000000002</v>
      </c>
      <c r="I486" s="92">
        <f>I465+I409+I394+I119</f>
        <v>57043.09999999999</v>
      </c>
      <c r="J486" s="92">
        <f>J465</f>
        <v>7996.773480000001</v>
      </c>
      <c r="K486" s="109"/>
      <c r="L486" s="97"/>
    </row>
    <row r="487" spans="1:12" ht="14.25">
      <c r="A487" s="319"/>
      <c r="B487" s="319"/>
      <c r="C487" s="114">
        <v>2021</v>
      </c>
      <c r="D487" s="92">
        <f>F487+I487+J487</f>
        <v>72642.83748</v>
      </c>
      <c r="E487" s="92">
        <v>0</v>
      </c>
      <c r="F487" s="92">
        <f>H487</f>
        <v>10602.964</v>
      </c>
      <c r="G487" s="92"/>
      <c r="H487" s="92">
        <f>H481+H466</f>
        <v>10602.964</v>
      </c>
      <c r="I487" s="92">
        <f>I481+I466+I410+I395+I120</f>
        <v>54043.100000000006</v>
      </c>
      <c r="J487" s="92">
        <f>J481+J466</f>
        <v>7996.773480000001</v>
      </c>
      <c r="K487" s="109"/>
      <c r="L487" s="97"/>
    </row>
    <row r="488" spans="1:12" ht="14.25">
      <c r="A488" s="319"/>
      <c r="B488" s="319"/>
      <c r="C488" s="114">
        <v>2022</v>
      </c>
      <c r="D488" s="207">
        <f>H488+I488+J488</f>
        <v>72642.83748</v>
      </c>
      <c r="E488" s="207">
        <v>0</v>
      </c>
      <c r="F488" s="207">
        <f>H488</f>
        <v>10602.964</v>
      </c>
      <c r="G488" s="207"/>
      <c r="H488" s="207">
        <f>H467+H482</f>
        <v>10602.964</v>
      </c>
      <c r="I488" s="207">
        <f>I467+I411+I396+I121</f>
        <v>54043.100000000006</v>
      </c>
      <c r="J488" s="207">
        <f>J467</f>
        <v>7996.773480000001</v>
      </c>
      <c r="K488" s="109"/>
      <c r="L488" s="97"/>
    </row>
    <row r="489" spans="1:12" ht="14.25">
      <c r="A489" s="319"/>
      <c r="B489" s="319"/>
      <c r="C489" s="114" t="s">
        <v>293</v>
      </c>
      <c r="D489" s="92">
        <f>F489+I489+J489</f>
        <v>473728.41155</v>
      </c>
      <c r="E489" s="92">
        <f>SUM(E484:E486)</f>
        <v>0</v>
      </c>
      <c r="F489" s="92">
        <f>G489+H489</f>
        <v>64062.074</v>
      </c>
      <c r="G489" s="92"/>
      <c r="H489" s="92">
        <f>SUM(H483:H487)+H488</f>
        <v>64062.074</v>
      </c>
      <c r="I489" s="92">
        <f>SUM(I483:I487)+I488</f>
        <v>371740.20488</v>
      </c>
      <c r="J489" s="92">
        <f>SUM(J483:J487)+J488</f>
        <v>37926.13267</v>
      </c>
      <c r="K489" s="109"/>
      <c r="L489" s="97"/>
    </row>
    <row r="490" spans="1:12" ht="14.25">
      <c r="A490" s="193"/>
      <c r="B490" s="193"/>
      <c r="C490" s="111"/>
      <c r="D490" s="111"/>
      <c r="E490" s="111"/>
      <c r="F490" s="111"/>
      <c r="G490" s="111"/>
      <c r="H490" s="111"/>
      <c r="I490" s="111"/>
      <c r="J490" s="111"/>
      <c r="K490" s="111"/>
      <c r="L490" s="97"/>
    </row>
    <row r="491" spans="1:7" ht="14.25">
      <c r="A491" s="44"/>
      <c r="B491" s="44"/>
      <c r="C491" s="8"/>
      <c r="G491" t="s">
        <v>39</v>
      </c>
    </row>
  </sheetData>
  <sheetProtection/>
  <mergeCells count="232">
    <mergeCell ref="K4:L4"/>
    <mergeCell ref="K2:L2"/>
    <mergeCell ref="K3:L3"/>
    <mergeCell ref="A349:A354"/>
    <mergeCell ref="A391:B396"/>
    <mergeCell ref="B367:B372"/>
    <mergeCell ref="A367:A372"/>
    <mergeCell ref="A361:A366"/>
    <mergeCell ref="B361:B366"/>
    <mergeCell ref="A355:A360"/>
    <mergeCell ref="B355:B360"/>
    <mergeCell ref="B349:B354"/>
    <mergeCell ref="B379:B384"/>
    <mergeCell ref="B124:L124"/>
    <mergeCell ref="L125:L395"/>
    <mergeCell ref="A331:A336"/>
    <mergeCell ref="A325:A330"/>
    <mergeCell ref="B325:B330"/>
    <mergeCell ref="B223:B228"/>
    <mergeCell ref="A229:A234"/>
    <mergeCell ref="L71:L76"/>
    <mergeCell ref="L77:L82"/>
    <mergeCell ref="L83:L88"/>
    <mergeCell ref="B97:B102"/>
    <mergeCell ref="K97:K102"/>
    <mergeCell ref="L97:L114"/>
    <mergeCell ref="B103:B109"/>
    <mergeCell ref="B110:B115"/>
    <mergeCell ref="B77:B82"/>
    <mergeCell ref="L89:L96"/>
    <mergeCell ref="L17:L29"/>
    <mergeCell ref="L30:L35"/>
    <mergeCell ref="L36:L41"/>
    <mergeCell ref="L42:L50"/>
    <mergeCell ref="L51:L64"/>
    <mergeCell ref="L65:L70"/>
    <mergeCell ref="K65:K70"/>
    <mergeCell ref="K63:K64"/>
    <mergeCell ref="K49:K50"/>
    <mergeCell ref="K36:K41"/>
    <mergeCell ref="K30:K35"/>
    <mergeCell ref="K17:K22"/>
    <mergeCell ref="K23:K29"/>
    <mergeCell ref="A83:A88"/>
    <mergeCell ref="B83:B88"/>
    <mergeCell ref="K83:K88"/>
    <mergeCell ref="K77:K82"/>
    <mergeCell ref="K71:K76"/>
    <mergeCell ref="A17:A22"/>
    <mergeCell ref="B17:B22"/>
    <mergeCell ref="A23:A29"/>
    <mergeCell ref="B26:B29"/>
    <mergeCell ref="A30:A35"/>
    <mergeCell ref="B30:B35"/>
    <mergeCell ref="A414:A419"/>
    <mergeCell ref="B414:B419"/>
    <mergeCell ref="B413:L413"/>
    <mergeCell ref="K414:K419"/>
    <mergeCell ref="A373:A378"/>
    <mergeCell ref="B373:B378"/>
    <mergeCell ref="A400:A405"/>
    <mergeCell ref="B400:B405"/>
    <mergeCell ref="K400:K404"/>
    <mergeCell ref="A379:A384"/>
    <mergeCell ref="B198:B203"/>
    <mergeCell ref="A265:A270"/>
    <mergeCell ref="B211:B216"/>
    <mergeCell ref="A406:B411"/>
    <mergeCell ref="A343:A348"/>
    <mergeCell ref="B343:B348"/>
    <mergeCell ref="A337:A342"/>
    <mergeCell ref="A241:A246"/>
    <mergeCell ref="B241:B246"/>
    <mergeCell ref="B229:B234"/>
    <mergeCell ref="A176:A181"/>
    <mergeCell ref="B176:B181"/>
    <mergeCell ref="A103:A109"/>
    <mergeCell ref="A110:A115"/>
    <mergeCell ref="A116:A121"/>
    <mergeCell ref="A158:A163"/>
    <mergeCell ref="B158:B163"/>
    <mergeCell ref="A164:A169"/>
    <mergeCell ref="B164:B169"/>
    <mergeCell ref="C145:C146"/>
    <mergeCell ref="A122:L122"/>
    <mergeCell ref="A145:A151"/>
    <mergeCell ref="B145:B151"/>
    <mergeCell ref="A152:A157"/>
    <mergeCell ref="C126:C127"/>
    <mergeCell ref="B152:B157"/>
    <mergeCell ref="A126:A132"/>
    <mergeCell ref="B126:B132"/>
    <mergeCell ref="A133:A138"/>
    <mergeCell ref="A89:A96"/>
    <mergeCell ref="B89:B96"/>
    <mergeCell ref="K92:K96"/>
    <mergeCell ref="A170:A175"/>
    <mergeCell ref="B170:B175"/>
    <mergeCell ref="C103:C104"/>
    <mergeCell ref="A139:A144"/>
    <mergeCell ref="B139:B144"/>
    <mergeCell ref="B116:B121"/>
    <mergeCell ref="A97:A102"/>
    <mergeCell ref="B133:B138"/>
    <mergeCell ref="A36:A41"/>
    <mergeCell ref="B36:B41"/>
    <mergeCell ref="B65:B70"/>
    <mergeCell ref="A71:A76"/>
    <mergeCell ref="B71:B76"/>
    <mergeCell ref="A51:A64"/>
    <mergeCell ref="B51:B64"/>
    <mergeCell ref="A65:A70"/>
    <mergeCell ref="A77:A82"/>
    <mergeCell ref="B397:L397"/>
    <mergeCell ref="A204:A210"/>
    <mergeCell ref="B204:B210"/>
    <mergeCell ref="B337:B342"/>
    <mergeCell ref="A319:A324"/>
    <mergeCell ref="B319:B324"/>
    <mergeCell ref="B307:B312"/>
    <mergeCell ref="A235:A240"/>
    <mergeCell ref="B235:B240"/>
    <mergeCell ref="A295:A300"/>
    <mergeCell ref="B295:B300"/>
    <mergeCell ref="A313:A318"/>
    <mergeCell ref="B313:B318"/>
    <mergeCell ref="A182:A187"/>
    <mergeCell ref="B182:B187"/>
    <mergeCell ref="A188:A197"/>
    <mergeCell ref="A223:A228"/>
    <mergeCell ref="A307:A312"/>
    <mergeCell ref="A198:A203"/>
    <mergeCell ref="C60:C61"/>
    <mergeCell ref="A14:L14"/>
    <mergeCell ref="A259:A264"/>
    <mergeCell ref="B259:B264"/>
    <mergeCell ref="A253:A258"/>
    <mergeCell ref="B253:B258"/>
    <mergeCell ref="C58:C59"/>
    <mergeCell ref="K183:K185"/>
    <mergeCell ref="C51:C54"/>
    <mergeCell ref="E26:E27"/>
    <mergeCell ref="K165:K167"/>
    <mergeCell ref="B15:L15"/>
    <mergeCell ref="C42:C44"/>
    <mergeCell ref="B16:L16"/>
    <mergeCell ref="J26:J27"/>
    <mergeCell ref="B123:L123"/>
    <mergeCell ref="I26:I27"/>
    <mergeCell ref="F26:F27"/>
    <mergeCell ref="C26:C27"/>
    <mergeCell ref="D26:D27"/>
    <mergeCell ref="F9:I9"/>
    <mergeCell ref="E10:E12"/>
    <mergeCell ref="E8:I8"/>
    <mergeCell ref="C55:C57"/>
    <mergeCell ref="I10:I12"/>
    <mergeCell ref="F11:F12"/>
    <mergeCell ref="G11:H11"/>
    <mergeCell ref="G26:G27"/>
    <mergeCell ref="F10:H10"/>
    <mergeCell ref="B188:B197"/>
    <mergeCell ref="A420:A425"/>
    <mergeCell ref="A7:L7"/>
    <mergeCell ref="A8:A12"/>
    <mergeCell ref="B8:B12"/>
    <mergeCell ref="C8:C12"/>
    <mergeCell ref="D8:D12"/>
    <mergeCell ref="J8:J12"/>
    <mergeCell ref="K8:K12"/>
    <mergeCell ref="L8:L12"/>
    <mergeCell ref="A477:B482"/>
    <mergeCell ref="A471:A476"/>
    <mergeCell ref="A468:J468"/>
    <mergeCell ref="A462:B467"/>
    <mergeCell ref="H26:H27"/>
    <mergeCell ref="A42:A50"/>
    <mergeCell ref="B42:B50"/>
    <mergeCell ref="A217:A222"/>
    <mergeCell ref="B217:B222"/>
    <mergeCell ref="C62:C63"/>
    <mergeCell ref="A277:A282"/>
    <mergeCell ref="B265:B270"/>
    <mergeCell ref="A247:A252"/>
    <mergeCell ref="B247:B252"/>
    <mergeCell ref="A289:A294"/>
    <mergeCell ref="A483:B489"/>
    <mergeCell ref="B470:L470"/>
    <mergeCell ref="A450:A455"/>
    <mergeCell ref="B450:B455"/>
    <mergeCell ref="B471:B476"/>
    <mergeCell ref="K450:K455"/>
    <mergeCell ref="B444:B449"/>
    <mergeCell ref="K235:K239"/>
    <mergeCell ref="K420:K425"/>
    <mergeCell ref="A426:A431"/>
    <mergeCell ref="B426:B431"/>
    <mergeCell ref="K438:K443"/>
    <mergeCell ref="B289:B294"/>
    <mergeCell ref="A283:A288"/>
    <mergeCell ref="B283:B288"/>
    <mergeCell ref="B420:B425"/>
    <mergeCell ref="A301:A306"/>
    <mergeCell ref="B301:B306"/>
    <mergeCell ref="A456:A461"/>
    <mergeCell ref="B456:B461"/>
    <mergeCell ref="A438:A443"/>
    <mergeCell ref="B438:B443"/>
    <mergeCell ref="A444:A449"/>
    <mergeCell ref="B399:L399"/>
    <mergeCell ref="A412:K412"/>
    <mergeCell ref="K271:K275"/>
    <mergeCell ref="K277:K281"/>
    <mergeCell ref="B277:B282"/>
    <mergeCell ref="A271:A276"/>
    <mergeCell ref="B271:B276"/>
    <mergeCell ref="K444:K449"/>
    <mergeCell ref="K426:K431"/>
    <mergeCell ref="B432:B437"/>
    <mergeCell ref="K432:K437"/>
    <mergeCell ref="A432:A437"/>
    <mergeCell ref="K171:K172"/>
    <mergeCell ref="B331:B336"/>
    <mergeCell ref="K265:K269"/>
    <mergeCell ref="L414:L462"/>
    <mergeCell ref="L471:L482"/>
    <mergeCell ref="A385:A390"/>
    <mergeCell ref="B385:B390"/>
    <mergeCell ref="K253:K257"/>
    <mergeCell ref="K283:K287"/>
    <mergeCell ref="K259:K263"/>
  </mergeCells>
  <printOptions/>
  <pageMargins left="0.8661417322834646" right="0.7086614173228347" top="0" bottom="0" header="0.31496062992125984" footer="0.31496062992125984"/>
  <pageSetup fitToHeight="9" fitToWidth="1" horizontalDpi="600" verticalDpi="600" orientation="landscape" paperSize="9" scale="57" r:id="rId1"/>
  <rowBreaks count="3" manualBreakCount="3">
    <brk id="54" max="255" man="1"/>
    <brk id="165" max="255" man="1"/>
    <brk id="4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zoomScalePageLayoutView="0" workbookViewId="0" topLeftCell="A52">
      <selection activeCell="I65" sqref="I6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10.42187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ht="14.25">
      <c r="U1" s="245"/>
    </row>
    <row r="2" spans="2:22" ht="14.25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P2" s="276" t="s">
        <v>309</v>
      </c>
      <c r="Q2" s="276"/>
      <c r="R2" s="276"/>
      <c r="S2" s="276"/>
      <c r="T2" s="276"/>
      <c r="U2" s="276"/>
      <c r="V2" s="276"/>
    </row>
    <row r="3" spans="2:22" ht="14.2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P3" s="413" t="s">
        <v>315</v>
      </c>
      <c r="Q3" s="413"/>
      <c r="R3" s="413"/>
      <c r="S3" s="413"/>
      <c r="T3" s="413"/>
      <c r="U3" s="413"/>
      <c r="V3" s="413"/>
    </row>
    <row r="4" spans="2:22" ht="14.25">
      <c r="B4" s="21"/>
      <c r="C4" s="21"/>
      <c r="D4" s="21"/>
      <c r="E4" s="21"/>
      <c r="F4" s="21"/>
      <c r="G4" s="24"/>
      <c r="H4" s="24"/>
      <c r="I4" s="24"/>
      <c r="J4" s="21"/>
      <c r="K4" s="276"/>
      <c r="L4" s="276"/>
      <c r="P4" s="413" t="s">
        <v>314</v>
      </c>
      <c r="Q4" s="413"/>
      <c r="R4" s="413"/>
      <c r="S4" s="413"/>
      <c r="T4" s="413"/>
      <c r="U4" s="413"/>
      <c r="V4" s="413"/>
    </row>
    <row r="5" spans="1:22" ht="14.25">
      <c r="A5" s="12"/>
      <c r="B5" s="10"/>
      <c r="C5" s="10"/>
      <c r="D5" s="10"/>
      <c r="E5" s="11"/>
      <c r="F5" s="10"/>
      <c r="G5" s="10"/>
      <c r="H5" s="10"/>
      <c r="I5" s="10"/>
      <c r="J5" s="18"/>
      <c r="K5" s="276"/>
      <c r="L5" s="276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4.25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ht="17.25">
      <c r="E8" s="15" t="s">
        <v>245</v>
      </c>
    </row>
    <row r="9" spans="1:22" ht="38.25" customHeight="1">
      <c r="A9" s="374" t="s">
        <v>0</v>
      </c>
      <c r="B9" s="371" t="s">
        <v>19</v>
      </c>
      <c r="C9" s="371" t="s">
        <v>2</v>
      </c>
      <c r="D9" s="371" t="s">
        <v>78</v>
      </c>
      <c r="E9" s="374" t="s">
        <v>5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 t="s">
        <v>23</v>
      </c>
      <c r="Q9" s="13"/>
      <c r="R9" s="13"/>
      <c r="S9" s="13"/>
      <c r="T9" s="13"/>
      <c r="U9" s="371" t="s">
        <v>79</v>
      </c>
      <c r="V9" s="371" t="s">
        <v>80</v>
      </c>
    </row>
    <row r="10" spans="1:22" ht="19.5" customHeight="1">
      <c r="A10" s="374"/>
      <c r="B10" s="372"/>
      <c r="C10" s="372"/>
      <c r="D10" s="372"/>
      <c r="E10" s="374" t="s">
        <v>22</v>
      </c>
      <c r="F10" s="25"/>
      <c r="G10" s="374" t="s">
        <v>81</v>
      </c>
      <c r="H10" s="374"/>
      <c r="I10" s="374"/>
      <c r="J10" s="374"/>
      <c r="K10" s="374"/>
      <c r="L10" s="374"/>
      <c r="M10" s="374"/>
      <c r="N10" s="374"/>
      <c r="O10" s="374"/>
      <c r="P10" s="374"/>
      <c r="Q10" s="23"/>
      <c r="R10" s="23"/>
      <c r="S10" s="23"/>
      <c r="T10" s="23"/>
      <c r="U10" s="372"/>
      <c r="V10" s="372"/>
    </row>
    <row r="11" spans="1:22" ht="30" customHeight="1">
      <c r="A11" s="374"/>
      <c r="B11" s="372"/>
      <c r="C11" s="372"/>
      <c r="D11" s="372"/>
      <c r="E11" s="374"/>
      <c r="F11" s="23" t="s">
        <v>24</v>
      </c>
      <c r="G11" s="374" t="s">
        <v>24</v>
      </c>
      <c r="H11" s="374"/>
      <c r="I11" s="374"/>
      <c r="J11" s="374"/>
      <c r="K11" s="23"/>
      <c r="L11" s="23"/>
      <c r="M11" s="23"/>
      <c r="N11" s="23"/>
      <c r="O11" s="374" t="s">
        <v>25</v>
      </c>
      <c r="P11" s="374"/>
      <c r="Q11" s="13" t="s">
        <v>82</v>
      </c>
      <c r="R11" s="13"/>
      <c r="S11" s="13"/>
      <c r="T11" s="13"/>
      <c r="U11" s="372"/>
      <c r="V11" s="372"/>
    </row>
    <row r="12" spans="1:22" ht="30" customHeight="1">
      <c r="A12" s="374"/>
      <c r="B12" s="372"/>
      <c r="C12" s="372"/>
      <c r="D12" s="372"/>
      <c r="E12" s="374"/>
      <c r="F12" s="23"/>
      <c r="G12" s="374" t="s">
        <v>203</v>
      </c>
      <c r="H12" s="374" t="s">
        <v>21</v>
      </c>
      <c r="I12" s="374"/>
      <c r="J12" s="25"/>
      <c r="K12" s="23"/>
      <c r="L12" s="23"/>
      <c r="M12" s="23"/>
      <c r="N12" s="23"/>
      <c r="O12" s="374"/>
      <c r="P12" s="374"/>
      <c r="Q12" s="23"/>
      <c r="R12" s="23"/>
      <c r="S12" s="23"/>
      <c r="T12" s="23"/>
      <c r="U12" s="372"/>
      <c r="V12" s="372"/>
    </row>
    <row r="13" spans="1:22" ht="57" customHeight="1">
      <c r="A13" s="374"/>
      <c r="B13" s="373"/>
      <c r="C13" s="373"/>
      <c r="D13" s="373"/>
      <c r="E13" s="374"/>
      <c r="F13" s="23"/>
      <c r="G13" s="374"/>
      <c r="H13" s="29" t="s">
        <v>205</v>
      </c>
      <c r="I13" s="29" t="s">
        <v>207</v>
      </c>
      <c r="J13" s="23"/>
      <c r="K13" s="23"/>
      <c r="L13" s="23"/>
      <c r="M13" s="23"/>
      <c r="N13" s="23"/>
      <c r="O13" s="374"/>
      <c r="P13" s="374"/>
      <c r="Q13" s="14"/>
      <c r="R13" s="14"/>
      <c r="S13" s="14"/>
      <c r="T13" s="14"/>
      <c r="U13" s="373"/>
      <c r="V13" s="373"/>
    </row>
    <row r="14" spans="1:22" ht="14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41">
        <v>6</v>
      </c>
      <c r="G14" s="39">
        <v>6</v>
      </c>
      <c r="H14" s="39">
        <v>7</v>
      </c>
      <c r="I14" s="39">
        <v>8</v>
      </c>
      <c r="J14" s="42"/>
      <c r="K14" s="42"/>
      <c r="L14" s="42"/>
      <c r="M14" s="42"/>
      <c r="N14" s="43"/>
      <c r="O14" s="16">
        <v>9</v>
      </c>
      <c r="P14" s="16">
        <v>10</v>
      </c>
      <c r="Q14" s="379">
        <v>11</v>
      </c>
      <c r="R14" s="380"/>
      <c r="S14" s="380"/>
      <c r="T14" s="380"/>
      <c r="U14" s="381"/>
      <c r="V14" s="16">
        <v>12</v>
      </c>
    </row>
    <row r="15" spans="1:22" ht="18">
      <c r="A15" s="384" t="s">
        <v>100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</row>
    <row r="16" spans="1:22" s="17" customFormat="1" ht="27.75" customHeight="1">
      <c r="A16" s="375" t="s">
        <v>115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</row>
    <row r="17" spans="1:22" s="148" customFormat="1" ht="25.5" customHeight="1">
      <c r="A17" s="376" t="s">
        <v>116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8"/>
    </row>
    <row r="18" spans="1:22" s="148" customFormat="1" ht="26.25" customHeight="1">
      <c r="A18" s="385" t="s">
        <v>9</v>
      </c>
      <c r="B18" s="385" t="s">
        <v>83</v>
      </c>
      <c r="C18" s="140">
        <v>2017</v>
      </c>
      <c r="D18" s="141">
        <f>O18</f>
        <v>25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>
        <v>25</v>
      </c>
      <c r="P18" s="47"/>
      <c r="Q18" s="47"/>
      <c r="R18" s="47"/>
      <c r="S18" s="47"/>
      <c r="T18" s="47"/>
      <c r="U18" s="385" t="s">
        <v>32</v>
      </c>
      <c r="V18" s="337" t="s">
        <v>85</v>
      </c>
    </row>
    <row r="19" spans="1:22" s="148" customFormat="1" ht="26.25" customHeight="1">
      <c r="A19" s="386"/>
      <c r="B19" s="386"/>
      <c r="C19" s="140">
        <v>2018</v>
      </c>
      <c r="D19" s="141">
        <v>8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41">
        <f>8</f>
        <v>8</v>
      </c>
      <c r="P19" s="48"/>
      <c r="Q19" s="48"/>
      <c r="R19" s="48" t="s">
        <v>84</v>
      </c>
      <c r="S19" s="48"/>
      <c r="T19" s="48"/>
      <c r="U19" s="386"/>
      <c r="V19" s="337"/>
    </row>
    <row r="20" spans="1:22" s="148" customFormat="1" ht="14.25">
      <c r="A20" s="386"/>
      <c r="B20" s="386"/>
      <c r="C20" s="140">
        <v>2019</v>
      </c>
      <c r="D20" s="141">
        <f>O20</f>
        <v>15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41">
        <v>15</v>
      </c>
      <c r="P20" s="48"/>
      <c r="Q20" s="48"/>
      <c r="R20" s="54"/>
      <c r="S20" s="54"/>
      <c r="T20" s="54"/>
      <c r="U20" s="386"/>
      <c r="V20" s="337"/>
    </row>
    <row r="21" spans="1:22" s="148" customFormat="1" ht="14.25">
      <c r="A21" s="386"/>
      <c r="B21" s="386"/>
      <c r="C21" s="140">
        <v>2020</v>
      </c>
      <c r="D21" s="141">
        <v>25</v>
      </c>
      <c r="E21" s="53"/>
      <c r="F21" s="53"/>
      <c r="G21" s="53"/>
      <c r="H21" s="53"/>
      <c r="I21" s="53"/>
      <c r="J21" s="383"/>
      <c r="K21" s="383"/>
      <c r="L21" s="383"/>
      <c r="M21" s="383"/>
      <c r="N21" s="383"/>
      <c r="O21" s="141">
        <f>15</f>
        <v>15</v>
      </c>
      <c r="P21" s="48"/>
      <c r="Q21" s="48"/>
      <c r="R21" s="54"/>
      <c r="S21" s="54"/>
      <c r="T21" s="54"/>
      <c r="U21" s="386"/>
      <c r="V21" s="337"/>
    </row>
    <row r="22" spans="1:22" s="148" customFormat="1" ht="14.25">
      <c r="A22" s="386"/>
      <c r="B22" s="386"/>
      <c r="C22" s="140">
        <v>2021</v>
      </c>
      <c r="D22" s="141">
        <f>O22</f>
        <v>15</v>
      </c>
      <c r="E22" s="53"/>
      <c r="F22" s="53"/>
      <c r="G22" s="53"/>
      <c r="H22" s="53"/>
      <c r="I22" s="53"/>
      <c r="J22" s="142"/>
      <c r="K22" s="142"/>
      <c r="L22" s="142"/>
      <c r="M22" s="142"/>
      <c r="N22" s="142"/>
      <c r="O22" s="141">
        <v>15</v>
      </c>
      <c r="P22" s="48"/>
      <c r="Q22" s="48"/>
      <c r="R22" s="54"/>
      <c r="S22" s="54"/>
      <c r="T22" s="54"/>
      <c r="U22" s="386"/>
      <c r="V22" s="140"/>
    </row>
    <row r="23" spans="1:22" s="148" customFormat="1" ht="14.25">
      <c r="A23" s="387"/>
      <c r="B23" s="387"/>
      <c r="C23" s="200">
        <v>2022</v>
      </c>
      <c r="D23" s="210">
        <f>O23</f>
        <v>15</v>
      </c>
      <c r="E23" s="53"/>
      <c r="F23" s="53"/>
      <c r="G23" s="53"/>
      <c r="H23" s="53"/>
      <c r="I23" s="53"/>
      <c r="J23" s="211"/>
      <c r="K23" s="211"/>
      <c r="L23" s="211"/>
      <c r="M23" s="211"/>
      <c r="N23" s="211"/>
      <c r="O23" s="210">
        <v>15</v>
      </c>
      <c r="P23" s="48"/>
      <c r="Q23" s="48"/>
      <c r="R23" s="205"/>
      <c r="S23" s="205"/>
      <c r="T23" s="205"/>
      <c r="U23" s="387"/>
      <c r="V23" s="200"/>
    </row>
    <row r="24" spans="1:22" s="148" customFormat="1" ht="14.25" customHeight="1">
      <c r="A24" s="385">
        <v>2</v>
      </c>
      <c r="B24" s="385" t="s">
        <v>86</v>
      </c>
      <c r="C24" s="140">
        <v>2017</v>
      </c>
      <c r="D24" s="141">
        <f>O24</f>
        <v>120</v>
      </c>
      <c r="E24" s="53"/>
      <c r="F24" s="53"/>
      <c r="G24" s="53"/>
      <c r="H24" s="53"/>
      <c r="I24" s="53"/>
      <c r="J24" s="142"/>
      <c r="K24" s="142"/>
      <c r="L24" s="142"/>
      <c r="M24" s="142"/>
      <c r="N24" s="142"/>
      <c r="O24" s="141">
        <v>120</v>
      </c>
      <c r="P24" s="48"/>
      <c r="Q24" s="48"/>
      <c r="R24" s="54"/>
      <c r="S24" s="388" t="s">
        <v>32</v>
      </c>
      <c r="T24" s="407"/>
      <c r="U24" s="389"/>
      <c r="V24" s="337" t="s">
        <v>87</v>
      </c>
    </row>
    <row r="25" spans="1:22" s="148" customFormat="1" ht="24" customHeight="1">
      <c r="A25" s="386"/>
      <c r="B25" s="386"/>
      <c r="C25" s="337">
        <v>2018</v>
      </c>
      <c r="D25" s="382">
        <f>O25</f>
        <v>15.052</v>
      </c>
      <c r="E25" s="53"/>
      <c r="F25" s="53"/>
      <c r="G25" s="53"/>
      <c r="H25" s="53"/>
      <c r="I25" s="53"/>
      <c r="J25" s="53"/>
      <c r="K25" s="55"/>
      <c r="L25" s="55"/>
      <c r="M25" s="55"/>
      <c r="N25" s="55"/>
      <c r="O25" s="382">
        <v>15.052</v>
      </c>
      <c r="P25" s="337"/>
      <c r="Q25" s="48"/>
      <c r="R25" s="48"/>
      <c r="S25" s="390"/>
      <c r="T25" s="408"/>
      <c r="U25" s="391"/>
      <c r="V25" s="337"/>
    </row>
    <row r="26" spans="1:22" s="148" customFormat="1" ht="25.5" customHeight="1" hidden="1">
      <c r="A26" s="386"/>
      <c r="B26" s="386"/>
      <c r="C26" s="337"/>
      <c r="D26" s="382"/>
      <c r="E26" s="53"/>
      <c r="F26" s="53"/>
      <c r="G26" s="53"/>
      <c r="H26" s="53"/>
      <c r="I26" s="53"/>
      <c r="J26" s="53"/>
      <c r="K26" s="55"/>
      <c r="L26" s="55"/>
      <c r="M26" s="55"/>
      <c r="N26" s="55"/>
      <c r="O26" s="382"/>
      <c r="P26" s="337"/>
      <c r="Q26" s="48"/>
      <c r="R26" s="48"/>
      <c r="S26" s="390"/>
      <c r="T26" s="408"/>
      <c r="U26" s="391"/>
      <c r="V26" s="337"/>
    </row>
    <row r="27" spans="1:22" s="148" customFormat="1" ht="14.25">
      <c r="A27" s="386"/>
      <c r="B27" s="386"/>
      <c r="C27" s="140">
        <v>2019</v>
      </c>
      <c r="D27" s="141">
        <f aca="true" t="shared" si="0" ref="D27:D37">O27</f>
        <v>40</v>
      </c>
      <c r="E27" s="53"/>
      <c r="F27" s="53"/>
      <c r="G27" s="53"/>
      <c r="H27" s="53"/>
      <c r="I27" s="53"/>
      <c r="J27" s="53"/>
      <c r="K27" s="55"/>
      <c r="L27" s="55"/>
      <c r="M27" s="55"/>
      <c r="N27" s="55"/>
      <c r="O27" s="141">
        <v>40</v>
      </c>
      <c r="P27" s="48"/>
      <c r="Q27" s="48"/>
      <c r="R27" s="48"/>
      <c r="S27" s="390"/>
      <c r="T27" s="408"/>
      <c r="U27" s="391"/>
      <c r="V27" s="337"/>
    </row>
    <row r="28" spans="1:22" s="148" customFormat="1" ht="33" customHeight="1">
      <c r="A28" s="386"/>
      <c r="B28" s="386"/>
      <c r="C28" s="140">
        <v>2020</v>
      </c>
      <c r="D28" s="141">
        <f t="shared" si="0"/>
        <v>40</v>
      </c>
      <c r="E28" s="53"/>
      <c r="F28" s="53"/>
      <c r="G28" s="53"/>
      <c r="H28" s="53"/>
      <c r="I28" s="53"/>
      <c r="J28" s="53"/>
      <c r="K28" s="55"/>
      <c r="L28" s="55"/>
      <c r="M28" s="55"/>
      <c r="N28" s="55"/>
      <c r="O28" s="141">
        <v>40</v>
      </c>
      <c r="P28" s="48"/>
      <c r="Q28" s="48"/>
      <c r="R28" s="48"/>
      <c r="S28" s="390"/>
      <c r="T28" s="408"/>
      <c r="U28" s="391"/>
      <c r="V28" s="337"/>
    </row>
    <row r="29" spans="1:22" s="148" customFormat="1" ht="15.75" customHeight="1">
      <c r="A29" s="386"/>
      <c r="B29" s="386"/>
      <c r="C29" s="140">
        <v>2021</v>
      </c>
      <c r="D29" s="141">
        <f t="shared" si="0"/>
        <v>40</v>
      </c>
      <c r="E29" s="53"/>
      <c r="F29" s="53"/>
      <c r="G29" s="53"/>
      <c r="H29" s="53"/>
      <c r="I29" s="53"/>
      <c r="J29" s="53"/>
      <c r="K29" s="55"/>
      <c r="L29" s="55"/>
      <c r="M29" s="55"/>
      <c r="N29" s="55"/>
      <c r="O29" s="141">
        <v>40</v>
      </c>
      <c r="P29" s="48"/>
      <c r="Q29" s="48"/>
      <c r="R29" s="48"/>
      <c r="S29" s="390"/>
      <c r="T29" s="408"/>
      <c r="U29" s="391"/>
      <c r="V29" s="140"/>
    </row>
    <row r="30" spans="1:22" s="148" customFormat="1" ht="15.75" customHeight="1">
      <c r="A30" s="387"/>
      <c r="B30" s="387"/>
      <c r="C30" s="200">
        <v>2022</v>
      </c>
      <c r="D30" s="210">
        <f>O30</f>
        <v>40</v>
      </c>
      <c r="E30" s="53"/>
      <c r="F30" s="53"/>
      <c r="G30" s="53"/>
      <c r="H30" s="53"/>
      <c r="I30" s="53"/>
      <c r="J30" s="53"/>
      <c r="K30" s="55"/>
      <c r="L30" s="55"/>
      <c r="M30" s="55"/>
      <c r="N30" s="55"/>
      <c r="O30" s="210">
        <v>40</v>
      </c>
      <c r="P30" s="48"/>
      <c r="Q30" s="48"/>
      <c r="R30" s="48"/>
      <c r="S30" s="392"/>
      <c r="T30" s="409"/>
      <c r="U30" s="393"/>
      <c r="V30" s="200"/>
    </row>
    <row r="31" spans="1:22" s="148" customFormat="1" ht="21" customHeight="1">
      <c r="A31" s="385">
        <v>3</v>
      </c>
      <c r="B31" s="385" t="s">
        <v>88</v>
      </c>
      <c r="C31" s="140">
        <v>2017</v>
      </c>
      <c r="D31" s="141">
        <f t="shared" si="0"/>
        <v>40</v>
      </c>
      <c r="E31" s="141"/>
      <c r="F31" s="141"/>
      <c r="G31" s="141"/>
      <c r="H31" s="141"/>
      <c r="I31" s="141"/>
      <c r="J31" s="141"/>
      <c r="K31" s="55"/>
      <c r="L31" s="55"/>
      <c r="M31" s="55"/>
      <c r="N31" s="55"/>
      <c r="O31" s="141">
        <v>40</v>
      </c>
      <c r="P31" s="48"/>
      <c r="Q31" s="48"/>
      <c r="R31" s="48"/>
      <c r="S31" s="140"/>
      <c r="T31" s="388" t="s">
        <v>32</v>
      </c>
      <c r="U31" s="389"/>
      <c r="V31" s="337" t="s">
        <v>89</v>
      </c>
    </row>
    <row r="32" spans="1:22" s="148" customFormat="1" ht="14.25" customHeight="1">
      <c r="A32" s="386"/>
      <c r="B32" s="386"/>
      <c r="C32" s="140">
        <v>2018</v>
      </c>
      <c r="D32" s="56">
        <f t="shared" si="0"/>
        <v>180.648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6">
        <f>180.648</f>
        <v>180.648</v>
      </c>
      <c r="P32" s="48"/>
      <c r="Q32" s="48"/>
      <c r="R32" s="48"/>
      <c r="S32" s="48"/>
      <c r="T32" s="390"/>
      <c r="U32" s="391"/>
      <c r="V32" s="337"/>
    </row>
    <row r="33" spans="1:22" s="148" customFormat="1" ht="21" customHeight="1">
      <c r="A33" s="386"/>
      <c r="B33" s="386"/>
      <c r="C33" s="51">
        <v>2019</v>
      </c>
      <c r="D33" s="56">
        <f t="shared" si="0"/>
        <v>150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6">
        <v>150</v>
      </c>
      <c r="P33" s="48"/>
      <c r="Q33" s="48"/>
      <c r="R33" s="48"/>
      <c r="S33" s="48"/>
      <c r="T33" s="390"/>
      <c r="U33" s="391"/>
      <c r="V33" s="337"/>
    </row>
    <row r="34" spans="1:22" s="148" customFormat="1" ht="24" customHeight="1">
      <c r="A34" s="386"/>
      <c r="B34" s="386"/>
      <c r="C34" s="51">
        <v>2020</v>
      </c>
      <c r="D34" s="56">
        <f t="shared" si="0"/>
        <v>150</v>
      </c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6">
        <v>150</v>
      </c>
      <c r="P34" s="48"/>
      <c r="Q34" s="48"/>
      <c r="R34" s="48"/>
      <c r="S34" s="48"/>
      <c r="T34" s="390"/>
      <c r="U34" s="391"/>
      <c r="V34" s="337"/>
    </row>
    <row r="35" spans="1:22" s="148" customFormat="1" ht="20.25" customHeight="1">
      <c r="A35" s="386"/>
      <c r="B35" s="386"/>
      <c r="C35" s="51">
        <v>2021</v>
      </c>
      <c r="D35" s="56">
        <f t="shared" si="0"/>
        <v>150</v>
      </c>
      <c r="E35" s="57"/>
      <c r="F35" s="57"/>
      <c r="G35" s="57"/>
      <c r="H35" s="57"/>
      <c r="I35" s="57"/>
      <c r="J35" s="57"/>
      <c r="K35" s="58"/>
      <c r="L35" s="58"/>
      <c r="M35" s="58"/>
      <c r="N35" s="58"/>
      <c r="O35" s="56">
        <v>150</v>
      </c>
      <c r="P35" s="48"/>
      <c r="Q35" s="48"/>
      <c r="R35" s="48"/>
      <c r="S35" s="48"/>
      <c r="T35" s="390"/>
      <c r="U35" s="391"/>
      <c r="V35" s="140"/>
    </row>
    <row r="36" spans="1:22" s="148" customFormat="1" ht="20.25" customHeight="1">
      <c r="A36" s="387"/>
      <c r="B36" s="387"/>
      <c r="C36" s="51">
        <v>2022</v>
      </c>
      <c r="D36" s="56">
        <f>O36</f>
        <v>150</v>
      </c>
      <c r="E36" s="57"/>
      <c r="F36" s="57"/>
      <c r="G36" s="57"/>
      <c r="H36" s="57"/>
      <c r="I36" s="57"/>
      <c r="J36" s="57"/>
      <c r="K36" s="58"/>
      <c r="L36" s="58"/>
      <c r="M36" s="58"/>
      <c r="N36" s="58"/>
      <c r="O36" s="56">
        <v>150</v>
      </c>
      <c r="P36" s="48"/>
      <c r="Q36" s="48"/>
      <c r="R36" s="48"/>
      <c r="S36" s="48"/>
      <c r="T36" s="392"/>
      <c r="U36" s="393"/>
      <c r="V36" s="200"/>
    </row>
    <row r="37" spans="1:22" s="148" customFormat="1" ht="24" customHeight="1">
      <c r="A37" s="385" t="s">
        <v>48</v>
      </c>
      <c r="B37" s="410" t="s">
        <v>90</v>
      </c>
      <c r="C37" s="51">
        <v>2017</v>
      </c>
      <c r="D37" s="56">
        <f t="shared" si="0"/>
        <v>163.5</v>
      </c>
      <c r="E37" s="57"/>
      <c r="F37" s="57"/>
      <c r="G37" s="57"/>
      <c r="H37" s="57"/>
      <c r="I37" s="57"/>
      <c r="J37" s="57"/>
      <c r="K37" s="58"/>
      <c r="L37" s="58"/>
      <c r="M37" s="58"/>
      <c r="N37" s="58"/>
      <c r="O37" s="56">
        <v>163.5</v>
      </c>
      <c r="P37" s="48"/>
      <c r="Q37" s="48"/>
      <c r="R37" s="48"/>
      <c r="S37" s="48"/>
      <c r="T37" s="140"/>
      <c r="U37" s="385" t="s">
        <v>32</v>
      </c>
      <c r="V37" s="337" t="s">
        <v>91</v>
      </c>
    </row>
    <row r="38" spans="1:22" s="148" customFormat="1" ht="28.5" customHeight="1">
      <c r="A38" s="386"/>
      <c r="B38" s="411"/>
      <c r="C38" s="140">
        <v>2018</v>
      </c>
      <c r="D38" s="141">
        <f>O38</f>
        <v>144.8</v>
      </c>
      <c r="E38" s="53"/>
      <c r="F38" s="53"/>
      <c r="G38" s="53"/>
      <c r="H38" s="53"/>
      <c r="I38" s="53"/>
      <c r="J38" s="53"/>
      <c r="K38" s="382"/>
      <c r="L38" s="382"/>
      <c r="M38" s="382"/>
      <c r="N38" s="382"/>
      <c r="O38" s="141">
        <f>144.8</f>
        <v>144.8</v>
      </c>
      <c r="P38" s="48"/>
      <c r="Q38" s="48"/>
      <c r="R38" s="48"/>
      <c r="S38" s="48"/>
      <c r="T38" s="48"/>
      <c r="U38" s="386"/>
      <c r="V38" s="337"/>
    </row>
    <row r="39" spans="1:22" s="148" customFormat="1" ht="14.25">
      <c r="A39" s="386"/>
      <c r="B39" s="411"/>
      <c r="C39" s="140">
        <v>2019</v>
      </c>
      <c r="D39" s="141">
        <f>O39</f>
        <v>180</v>
      </c>
      <c r="E39" s="53"/>
      <c r="F39" s="53"/>
      <c r="G39" s="53"/>
      <c r="H39" s="53"/>
      <c r="I39" s="53"/>
      <c r="J39" s="53"/>
      <c r="K39" s="382"/>
      <c r="L39" s="382"/>
      <c r="M39" s="382"/>
      <c r="N39" s="382"/>
      <c r="O39" s="141">
        <v>180</v>
      </c>
      <c r="P39" s="48"/>
      <c r="Q39" s="48"/>
      <c r="R39" s="48"/>
      <c r="S39" s="48"/>
      <c r="T39" s="48"/>
      <c r="U39" s="386"/>
      <c r="V39" s="337"/>
    </row>
    <row r="40" spans="1:22" s="148" customFormat="1" ht="18.75" customHeight="1">
      <c r="A40" s="386"/>
      <c r="B40" s="411"/>
      <c r="C40" s="140">
        <v>2020</v>
      </c>
      <c r="D40" s="141">
        <v>163.5</v>
      </c>
      <c r="E40" s="53"/>
      <c r="F40" s="53"/>
      <c r="G40" s="53"/>
      <c r="H40" s="53"/>
      <c r="I40" s="53"/>
      <c r="J40" s="53"/>
      <c r="K40" s="382"/>
      <c r="L40" s="382"/>
      <c r="M40" s="382"/>
      <c r="N40" s="382"/>
      <c r="O40" s="141">
        <v>180</v>
      </c>
      <c r="P40" s="48"/>
      <c r="Q40" s="48"/>
      <c r="R40" s="48"/>
      <c r="S40" s="48"/>
      <c r="T40" s="48"/>
      <c r="U40" s="386"/>
      <c r="V40" s="337"/>
    </row>
    <row r="41" spans="1:22" s="148" customFormat="1" ht="18.75" customHeight="1">
      <c r="A41" s="386"/>
      <c r="B41" s="411"/>
      <c r="C41" s="140">
        <v>2021</v>
      </c>
      <c r="D41" s="141">
        <f>O41</f>
        <v>180</v>
      </c>
      <c r="E41" s="53"/>
      <c r="F41" s="53"/>
      <c r="G41" s="53"/>
      <c r="H41" s="53"/>
      <c r="I41" s="53"/>
      <c r="J41" s="53"/>
      <c r="K41" s="141"/>
      <c r="L41" s="141"/>
      <c r="M41" s="141"/>
      <c r="N41" s="141"/>
      <c r="O41" s="141">
        <v>180</v>
      </c>
      <c r="P41" s="48"/>
      <c r="Q41" s="48"/>
      <c r="R41" s="48"/>
      <c r="S41" s="48"/>
      <c r="T41" s="48"/>
      <c r="U41" s="386"/>
      <c r="V41" s="140"/>
    </row>
    <row r="42" spans="1:22" s="148" customFormat="1" ht="18.75" customHeight="1">
      <c r="A42" s="387"/>
      <c r="B42" s="412"/>
      <c r="C42" s="200">
        <v>2022</v>
      </c>
      <c r="D42" s="210">
        <f>O42</f>
        <v>180</v>
      </c>
      <c r="E42" s="53"/>
      <c r="F42" s="53"/>
      <c r="G42" s="53"/>
      <c r="H42" s="53"/>
      <c r="I42" s="53"/>
      <c r="J42" s="53"/>
      <c r="K42" s="210"/>
      <c r="L42" s="210"/>
      <c r="M42" s="210"/>
      <c r="N42" s="210"/>
      <c r="O42" s="210">
        <v>180</v>
      </c>
      <c r="P42" s="48"/>
      <c r="Q42" s="48"/>
      <c r="R42" s="48"/>
      <c r="S42" s="48"/>
      <c r="T42" s="48"/>
      <c r="U42" s="387"/>
      <c r="V42" s="200"/>
    </row>
    <row r="43" spans="1:22" s="148" customFormat="1" ht="18.75" customHeight="1">
      <c r="A43" s="385" t="s">
        <v>53</v>
      </c>
      <c r="B43" s="385" t="s">
        <v>92</v>
      </c>
      <c r="C43" s="140">
        <v>2017</v>
      </c>
      <c r="D43" s="141">
        <f>O43</f>
        <v>10</v>
      </c>
      <c r="E43" s="53"/>
      <c r="F43" s="53"/>
      <c r="G43" s="53"/>
      <c r="H43" s="53"/>
      <c r="I43" s="53"/>
      <c r="J43" s="53"/>
      <c r="K43" s="141"/>
      <c r="L43" s="141"/>
      <c r="M43" s="141"/>
      <c r="N43" s="141"/>
      <c r="O43" s="141">
        <v>10</v>
      </c>
      <c r="P43" s="48"/>
      <c r="Q43" s="48"/>
      <c r="R43" s="48"/>
      <c r="S43" s="48"/>
      <c r="T43" s="48"/>
      <c r="U43" s="385" t="s">
        <v>32</v>
      </c>
      <c r="V43" s="337" t="s">
        <v>93</v>
      </c>
    </row>
    <row r="44" spans="1:22" s="148" customFormat="1" ht="16.5" customHeight="1">
      <c r="A44" s="386"/>
      <c r="B44" s="386"/>
      <c r="C44" s="140">
        <v>2018</v>
      </c>
      <c r="D44" s="141">
        <v>10</v>
      </c>
      <c r="E44" s="53"/>
      <c r="F44" s="53"/>
      <c r="G44" s="53"/>
      <c r="H44" s="53"/>
      <c r="I44" s="53"/>
      <c r="J44" s="53"/>
      <c r="K44" s="53"/>
      <c r="L44" s="382"/>
      <c r="M44" s="382"/>
      <c r="N44" s="382"/>
      <c r="O44" s="141">
        <v>10</v>
      </c>
      <c r="P44" s="337"/>
      <c r="Q44" s="337"/>
      <c r="R44" s="337"/>
      <c r="S44" s="337"/>
      <c r="T44" s="337"/>
      <c r="U44" s="386"/>
      <c r="V44" s="337"/>
    </row>
    <row r="45" spans="1:22" s="148" customFormat="1" ht="14.25">
      <c r="A45" s="386"/>
      <c r="B45" s="386"/>
      <c r="C45" s="140">
        <v>2019</v>
      </c>
      <c r="D45" s="141">
        <f>O45</f>
        <v>15</v>
      </c>
      <c r="E45" s="53"/>
      <c r="F45" s="53"/>
      <c r="G45" s="53"/>
      <c r="H45" s="53"/>
      <c r="I45" s="53"/>
      <c r="J45" s="53"/>
      <c r="K45" s="53"/>
      <c r="L45" s="382"/>
      <c r="M45" s="382"/>
      <c r="N45" s="382"/>
      <c r="O45" s="141">
        <v>15</v>
      </c>
      <c r="P45" s="337"/>
      <c r="Q45" s="337"/>
      <c r="R45" s="337"/>
      <c r="S45" s="337"/>
      <c r="T45" s="337"/>
      <c r="U45" s="386"/>
      <c r="V45" s="337"/>
    </row>
    <row r="46" spans="1:22" s="148" customFormat="1" ht="21" customHeight="1">
      <c r="A46" s="386"/>
      <c r="B46" s="386"/>
      <c r="C46" s="140">
        <v>2020</v>
      </c>
      <c r="D46" s="141">
        <v>10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41">
        <v>15</v>
      </c>
      <c r="P46" s="337"/>
      <c r="Q46" s="337"/>
      <c r="R46" s="337"/>
      <c r="S46" s="337"/>
      <c r="T46" s="337"/>
      <c r="U46" s="386"/>
      <c r="V46" s="337"/>
    </row>
    <row r="47" spans="1:22" s="148" customFormat="1" ht="21" customHeight="1">
      <c r="A47" s="386"/>
      <c r="B47" s="386"/>
      <c r="C47" s="140">
        <v>2021</v>
      </c>
      <c r="D47" s="141">
        <f>O47</f>
        <v>15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141">
        <v>15</v>
      </c>
      <c r="P47" s="140"/>
      <c r="Q47" s="140"/>
      <c r="R47" s="140"/>
      <c r="S47" s="140"/>
      <c r="T47" s="140"/>
      <c r="U47" s="386"/>
      <c r="V47" s="140"/>
    </row>
    <row r="48" spans="1:22" s="148" customFormat="1" ht="21" customHeight="1">
      <c r="A48" s="387"/>
      <c r="B48" s="387"/>
      <c r="C48" s="200">
        <v>2022</v>
      </c>
      <c r="D48" s="210">
        <f>O48</f>
        <v>15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10">
        <v>15</v>
      </c>
      <c r="P48" s="200"/>
      <c r="Q48" s="200"/>
      <c r="R48" s="200"/>
      <c r="S48" s="200"/>
      <c r="T48" s="200"/>
      <c r="U48" s="387"/>
      <c r="V48" s="200"/>
    </row>
    <row r="49" spans="1:22" s="148" customFormat="1" ht="21" customHeight="1">
      <c r="A49" s="385"/>
      <c r="B49" s="404" t="s">
        <v>201</v>
      </c>
      <c r="C49" s="49">
        <v>2017</v>
      </c>
      <c r="D49" s="59">
        <f>O49</f>
        <v>358.5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9">
        <f>O43+O37+O31+O24+O18+O59</f>
        <v>358.5</v>
      </c>
      <c r="P49" s="140"/>
      <c r="Q49" s="140"/>
      <c r="R49" s="140"/>
      <c r="S49" s="140"/>
      <c r="T49" s="140"/>
      <c r="U49" s="140"/>
      <c r="V49" s="140"/>
    </row>
    <row r="50" spans="1:22" s="148" customFormat="1" ht="21" customHeight="1">
      <c r="A50" s="386"/>
      <c r="B50" s="405"/>
      <c r="C50" s="49">
        <v>2018</v>
      </c>
      <c r="D50" s="59">
        <f>SUM(E50:O50)</f>
        <v>358.5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59">
        <f>SUM(O19+O25+O32+O38+O44+O60)</f>
        <v>358.5</v>
      </c>
      <c r="P50" s="140"/>
      <c r="Q50" s="140"/>
      <c r="R50" s="140"/>
      <c r="S50" s="140"/>
      <c r="T50" s="140"/>
      <c r="U50" s="140"/>
      <c r="V50" s="140"/>
    </row>
    <row r="51" spans="1:22" s="148" customFormat="1" ht="21" customHeight="1">
      <c r="A51" s="386"/>
      <c r="B51" s="405"/>
      <c r="C51" s="49">
        <v>2019</v>
      </c>
      <c r="D51" s="59">
        <f>D45+D39+D33+D27+D20</f>
        <v>400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59">
        <f>SUM(O20+O27+O33+O39+O45)</f>
        <v>400</v>
      </c>
      <c r="P51" s="140"/>
      <c r="Q51" s="140"/>
      <c r="R51" s="140"/>
      <c r="S51" s="140"/>
      <c r="T51" s="140"/>
      <c r="U51" s="140"/>
      <c r="V51" s="140"/>
    </row>
    <row r="52" spans="1:22" s="148" customFormat="1" ht="21" customHeight="1">
      <c r="A52" s="386"/>
      <c r="B52" s="405"/>
      <c r="C52" s="49">
        <v>2020</v>
      </c>
      <c r="D52" s="59">
        <f>SUM(E52:O52)</f>
        <v>400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9">
        <f>O46+O40+O34+O28+O21</f>
        <v>400</v>
      </c>
      <c r="P52" s="140"/>
      <c r="Q52" s="140"/>
      <c r="R52" s="140"/>
      <c r="S52" s="140"/>
      <c r="T52" s="140"/>
      <c r="U52" s="140"/>
      <c r="V52" s="140"/>
    </row>
    <row r="53" spans="1:22" s="148" customFormat="1" ht="21" customHeight="1">
      <c r="A53" s="386"/>
      <c r="B53" s="405"/>
      <c r="C53" s="49">
        <v>2021</v>
      </c>
      <c r="D53" s="59">
        <f>O53</f>
        <v>400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59">
        <f>O47+O41+O35+O29+O22</f>
        <v>400</v>
      </c>
      <c r="P53" s="140"/>
      <c r="Q53" s="140"/>
      <c r="R53" s="140"/>
      <c r="S53" s="140"/>
      <c r="T53" s="140"/>
      <c r="U53" s="140"/>
      <c r="V53" s="140"/>
    </row>
    <row r="54" spans="1:22" s="148" customFormat="1" ht="21" customHeight="1">
      <c r="A54" s="387"/>
      <c r="B54" s="406"/>
      <c r="C54" s="49">
        <v>2022</v>
      </c>
      <c r="D54" s="59">
        <f>O54</f>
        <v>400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9">
        <f>O48+O42+O36+O30+O23</f>
        <v>400</v>
      </c>
      <c r="P54" s="200"/>
      <c r="Q54" s="200"/>
      <c r="R54" s="200"/>
      <c r="S54" s="200"/>
      <c r="T54" s="200"/>
      <c r="U54" s="200"/>
      <c r="V54" s="200"/>
    </row>
    <row r="55" spans="1:22" s="148" customFormat="1" ht="19.5" customHeight="1">
      <c r="A55" s="140"/>
      <c r="B55" s="49"/>
      <c r="C55" s="61" t="s">
        <v>294</v>
      </c>
      <c r="D55" s="59">
        <f>SUM(D49:D54)</f>
        <v>2317</v>
      </c>
      <c r="E55" s="62">
        <f>SUM(E50:E52)</f>
        <v>0</v>
      </c>
      <c r="F55" s="63"/>
      <c r="G55" s="63"/>
      <c r="H55" s="63"/>
      <c r="I55" s="63"/>
      <c r="J55" s="63"/>
      <c r="K55" s="63"/>
      <c r="L55" s="63"/>
      <c r="M55" s="63"/>
      <c r="N55" s="59">
        <v>430</v>
      </c>
      <c r="O55" s="62">
        <f>SUM(O49:O54)</f>
        <v>2317</v>
      </c>
      <c r="P55" s="64"/>
      <c r="Q55" s="64"/>
      <c r="R55" s="64"/>
      <c r="S55" s="64"/>
      <c r="T55" s="64"/>
      <c r="U55" s="64"/>
      <c r="V55" s="61"/>
    </row>
    <row r="56" spans="1:22" s="148" customFormat="1" ht="18.75" customHeight="1">
      <c r="A56" s="402" t="s">
        <v>96</v>
      </c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</row>
    <row r="57" spans="1:22" s="148" customFormat="1" ht="33" customHeight="1">
      <c r="A57" s="394" t="s">
        <v>190</v>
      </c>
      <c r="B57" s="396" t="s">
        <v>191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8"/>
    </row>
    <row r="58" spans="1:22" s="148" customFormat="1" ht="18" customHeight="1" hidden="1">
      <c r="A58" s="395"/>
      <c r="B58" s="399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1"/>
    </row>
    <row r="59" spans="1:22" s="148" customFormat="1" ht="33" customHeight="1">
      <c r="A59" s="385" t="s">
        <v>9</v>
      </c>
      <c r="B59" s="385" t="s">
        <v>232</v>
      </c>
      <c r="C59" s="51">
        <v>2017</v>
      </c>
      <c r="D59" s="56">
        <f>O59</f>
        <v>0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6">
        <v>0</v>
      </c>
      <c r="P59" s="140"/>
      <c r="Q59" s="140"/>
      <c r="R59" s="140"/>
      <c r="S59" s="140"/>
      <c r="T59" s="140"/>
      <c r="U59" s="370" t="s">
        <v>244</v>
      </c>
      <c r="V59" s="337" t="s">
        <v>307</v>
      </c>
    </row>
    <row r="60" spans="1:22" s="148" customFormat="1" ht="14.25">
      <c r="A60" s="386"/>
      <c r="B60" s="386"/>
      <c r="C60" s="51">
        <v>2018</v>
      </c>
      <c r="D60" s="56">
        <f>O60</f>
        <v>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65">
        <v>0</v>
      </c>
      <c r="P60" s="140"/>
      <c r="Q60" s="140"/>
      <c r="R60" s="140"/>
      <c r="S60" s="140"/>
      <c r="T60" s="140"/>
      <c r="U60" s="370"/>
      <c r="V60" s="337"/>
    </row>
    <row r="61" spans="1:22" s="148" customFormat="1" ht="14.25">
      <c r="A61" s="386"/>
      <c r="B61" s="386"/>
      <c r="C61" s="51">
        <v>2019</v>
      </c>
      <c r="D61" s="56">
        <f>I61+O61+H61</f>
        <v>4757.4</v>
      </c>
      <c r="E61" s="57"/>
      <c r="F61" s="57">
        <v>5000</v>
      </c>
      <c r="G61" s="57">
        <f>H61+I61</f>
        <v>4407.4</v>
      </c>
      <c r="H61" s="57">
        <v>0</v>
      </c>
      <c r="I61" s="56">
        <v>4407.4</v>
      </c>
      <c r="J61" s="57"/>
      <c r="K61" s="57"/>
      <c r="L61" s="57"/>
      <c r="M61" s="57"/>
      <c r="N61" s="57"/>
      <c r="O61" s="66">
        <v>350</v>
      </c>
      <c r="P61" s="140"/>
      <c r="Q61" s="140"/>
      <c r="R61" s="140"/>
      <c r="S61" s="140"/>
      <c r="T61" s="140"/>
      <c r="U61" s="370"/>
      <c r="V61" s="337"/>
    </row>
    <row r="62" spans="1:22" s="148" customFormat="1" ht="14.25" customHeight="1">
      <c r="A62" s="386"/>
      <c r="B62" s="386"/>
      <c r="C62" s="51">
        <v>2020</v>
      </c>
      <c r="D62" s="56">
        <f>I62+O62</f>
        <v>0</v>
      </c>
      <c r="E62" s="57"/>
      <c r="F62" s="57">
        <v>4000</v>
      </c>
      <c r="G62" s="57"/>
      <c r="H62" s="57"/>
      <c r="I62" s="56">
        <v>0</v>
      </c>
      <c r="J62" s="57"/>
      <c r="K62" s="57"/>
      <c r="L62" s="57"/>
      <c r="M62" s="57"/>
      <c r="N62" s="57"/>
      <c r="O62" s="66">
        <v>0</v>
      </c>
      <c r="P62" s="140"/>
      <c r="Q62" s="140"/>
      <c r="R62" s="140"/>
      <c r="S62" s="140"/>
      <c r="T62" s="140"/>
      <c r="U62" s="370"/>
      <c r="V62" s="337"/>
    </row>
    <row r="63" spans="1:22" s="148" customFormat="1" ht="14.25" customHeight="1">
      <c r="A63" s="386"/>
      <c r="B63" s="386"/>
      <c r="C63" s="51">
        <v>2021</v>
      </c>
      <c r="D63" s="56">
        <f>I63</f>
        <v>0</v>
      </c>
      <c r="E63" s="57"/>
      <c r="F63" s="57"/>
      <c r="G63" s="57"/>
      <c r="H63" s="57"/>
      <c r="I63" s="56">
        <v>0</v>
      </c>
      <c r="J63" s="57"/>
      <c r="K63" s="57"/>
      <c r="L63" s="57"/>
      <c r="M63" s="57"/>
      <c r="N63" s="57"/>
      <c r="O63" s="66">
        <v>0</v>
      </c>
      <c r="P63" s="140"/>
      <c r="Q63" s="140"/>
      <c r="R63" s="140"/>
      <c r="S63" s="140"/>
      <c r="T63" s="140"/>
      <c r="U63" s="370"/>
      <c r="V63" s="337"/>
    </row>
    <row r="64" spans="1:22" s="148" customFormat="1" ht="14.25" customHeight="1">
      <c r="A64" s="387"/>
      <c r="B64" s="387"/>
      <c r="C64" s="51">
        <v>2022</v>
      </c>
      <c r="D64" s="56">
        <f>O64</f>
        <v>0</v>
      </c>
      <c r="E64" s="57"/>
      <c r="F64" s="57"/>
      <c r="G64" s="57"/>
      <c r="H64" s="57"/>
      <c r="I64" s="56"/>
      <c r="J64" s="57"/>
      <c r="K64" s="57"/>
      <c r="L64" s="57"/>
      <c r="M64" s="57"/>
      <c r="N64" s="57"/>
      <c r="O64" s="66">
        <v>0</v>
      </c>
      <c r="P64" s="200"/>
      <c r="Q64" s="200"/>
      <c r="R64" s="200"/>
      <c r="S64" s="200"/>
      <c r="T64" s="200"/>
      <c r="U64" s="370"/>
      <c r="V64" s="337"/>
    </row>
    <row r="65" spans="1:22" s="148" customFormat="1" ht="14.25" customHeight="1">
      <c r="A65" s="385" t="s">
        <v>117</v>
      </c>
      <c r="B65" s="385" t="s">
        <v>199</v>
      </c>
      <c r="C65" s="51">
        <v>2017</v>
      </c>
      <c r="D65" s="56">
        <f>O65</f>
        <v>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6">
        <v>0</v>
      </c>
      <c r="P65" s="140"/>
      <c r="Q65" s="140"/>
      <c r="R65" s="140"/>
      <c r="S65" s="140"/>
      <c r="T65" s="140"/>
      <c r="U65" s="370"/>
      <c r="V65" s="337"/>
    </row>
    <row r="66" spans="1:22" s="148" customFormat="1" ht="14.25" customHeight="1">
      <c r="A66" s="386"/>
      <c r="B66" s="386"/>
      <c r="C66" s="51">
        <v>2018</v>
      </c>
      <c r="D66" s="56">
        <f>O66</f>
        <v>70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6">
        <v>70</v>
      </c>
      <c r="P66" s="140"/>
      <c r="Q66" s="140"/>
      <c r="R66" s="140"/>
      <c r="S66" s="140"/>
      <c r="T66" s="140"/>
      <c r="U66" s="370"/>
      <c r="V66" s="337"/>
    </row>
    <row r="67" spans="1:22" s="148" customFormat="1" ht="14.25" customHeight="1">
      <c r="A67" s="386"/>
      <c r="B67" s="386"/>
      <c r="C67" s="51">
        <v>2019</v>
      </c>
      <c r="D67" s="56">
        <f>O67</f>
        <v>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6">
        <v>0</v>
      </c>
      <c r="P67" s="140"/>
      <c r="Q67" s="140"/>
      <c r="R67" s="140"/>
      <c r="S67" s="140"/>
      <c r="T67" s="140"/>
      <c r="U67" s="370"/>
      <c r="V67" s="337"/>
    </row>
    <row r="68" spans="1:22" s="148" customFormat="1" ht="21.75" customHeight="1">
      <c r="A68" s="386"/>
      <c r="B68" s="386"/>
      <c r="C68" s="51">
        <v>2020</v>
      </c>
      <c r="D68" s="56">
        <f>O68</f>
        <v>0</v>
      </c>
      <c r="E68" s="57"/>
      <c r="F68" s="57"/>
      <c r="G68" s="57"/>
      <c r="H68" s="57"/>
      <c r="I68" s="57">
        <v>0</v>
      </c>
      <c r="J68" s="57"/>
      <c r="K68" s="57"/>
      <c r="L68" s="57"/>
      <c r="M68" s="57"/>
      <c r="N68" s="57"/>
      <c r="O68" s="56">
        <v>0</v>
      </c>
      <c r="P68" s="140"/>
      <c r="Q68" s="140"/>
      <c r="R68" s="140"/>
      <c r="S68" s="140"/>
      <c r="T68" s="140"/>
      <c r="U68" s="370"/>
      <c r="V68" s="337"/>
    </row>
    <row r="69" spans="1:22" s="148" customFormat="1" ht="21.75" customHeight="1">
      <c r="A69" s="386"/>
      <c r="B69" s="386"/>
      <c r="C69" s="51">
        <v>2021</v>
      </c>
      <c r="D69" s="56">
        <f>I69</f>
        <v>0</v>
      </c>
      <c r="E69" s="57"/>
      <c r="F69" s="57"/>
      <c r="G69" s="57"/>
      <c r="H69" s="57"/>
      <c r="I69" s="57">
        <v>0</v>
      </c>
      <c r="J69" s="57"/>
      <c r="K69" s="57"/>
      <c r="L69" s="57"/>
      <c r="M69" s="57"/>
      <c r="N69" s="57"/>
      <c r="O69" s="56">
        <v>0</v>
      </c>
      <c r="P69" s="140"/>
      <c r="Q69" s="140"/>
      <c r="R69" s="140"/>
      <c r="S69" s="140"/>
      <c r="T69" s="140"/>
      <c r="U69" s="370"/>
      <c r="V69" s="337"/>
    </row>
    <row r="70" spans="1:22" s="148" customFormat="1" ht="21.75" customHeight="1">
      <c r="A70" s="387"/>
      <c r="B70" s="387"/>
      <c r="C70" s="51">
        <v>2022</v>
      </c>
      <c r="D70" s="56">
        <f>O70</f>
        <v>0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6">
        <v>0</v>
      </c>
      <c r="P70" s="200"/>
      <c r="Q70" s="200"/>
      <c r="R70" s="200"/>
      <c r="S70" s="200"/>
      <c r="T70" s="200"/>
      <c r="U70" s="370"/>
      <c r="V70" s="337"/>
    </row>
    <row r="71" spans="1:22" s="148" customFormat="1" ht="21.75" customHeight="1">
      <c r="A71" s="385" t="s">
        <v>123</v>
      </c>
      <c r="B71" s="385" t="s">
        <v>302</v>
      </c>
      <c r="C71" s="51">
        <v>2017</v>
      </c>
      <c r="D71" s="56">
        <f>O71</f>
        <v>0</v>
      </c>
      <c r="E71" s="57"/>
      <c r="F71" s="57"/>
      <c r="G71" s="57"/>
      <c r="H71" s="57"/>
      <c r="I71" s="57">
        <v>0</v>
      </c>
      <c r="J71" s="57"/>
      <c r="K71" s="57"/>
      <c r="L71" s="57"/>
      <c r="M71" s="57"/>
      <c r="N71" s="57"/>
      <c r="O71" s="56">
        <v>0</v>
      </c>
      <c r="P71" s="140"/>
      <c r="Q71" s="140"/>
      <c r="R71" s="140"/>
      <c r="S71" s="140"/>
      <c r="T71" s="140"/>
      <c r="U71" s="370" t="s">
        <v>52</v>
      </c>
      <c r="V71" s="337" t="s">
        <v>306</v>
      </c>
    </row>
    <row r="72" spans="1:22" s="148" customFormat="1" ht="21.75" customHeight="1">
      <c r="A72" s="386"/>
      <c r="B72" s="386"/>
      <c r="C72" s="51">
        <v>2018</v>
      </c>
      <c r="D72" s="56">
        <f>I72</f>
        <v>0</v>
      </c>
      <c r="E72" s="57"/>
      <c r="F72" s="57"/>
      <c r="G72" s="57"/>
      <c r="H72" s="57"/>
      <c r="I72" s="57">
        <v>0</v>
      </c>
      <c r="J72" s="57"/>
      <c r="K72" s="57"/>
      <c r="L72" s="57"/>
      <c r="M72" s="57"/>
      <c r="N72" s="57"/>
      <c r="O72" s="56">
        <v>0</v>
      </c>
      <c r="P72" s="140"/>
      <c r="Q72" s="140"/>
      <c r="R72" s="140"/>
      <c r="S72" s="140"/>
      <c r="T72" s="140"/>
      <c r="U72" s="370"/>
      <c r="V72" s="337"/>
    </row>
    <row r="73" spans="1:22" s="148" customFormat="1" ht="21.75" customHeight="1">
      <c r="A73" s="386"/>
      <c r="B73" s="386"/>
      <c r="C73" s="51">
        <v>2019</v>
      </c>
      <c r="D73" s="56">
        <f>O73+I73</f>
        <v>347.235</v>
      </c>
      <c r="E73" s="57"/>
      <c r="F73" s="57"/>
      <c r="G73" s="57">
        <f>I73</f>
        <v>330.7</v>
      </c>
      <c r="H73" s="57"/>
      <c r="I73" s="57">
        <v>330.7</v>
      </c>
      <c r="J73" s="57"/>
      <c r="K73" s="57"/>
      <c r="L73" s="57"/>
      <c r="M73" s="57"/>
      <c r="N73" s="57"/>
      <c r="O73" s="56">
        <v>16.535</v>
      </c>
      <c r="P73" s="140"/>
      <c r="Q73" s="140"/>
      <c r="R73" s="140"/>
      <c r="S73" s="140"/>
      <c r="T73" s="140"/>
      <c r="U73" s="370"/>
      <c r="V73" s="337"/>
    </row>
    <row r="74" spans="1:22" s="148" customFormat="1" ht="21.75" customHeight="1">
      <c r="A74" s="386"/>
      <c r="B74" s="386"/>
      <c r="C74" s="51">
        <v>2020</v>
      </c>
      <c r="D74" s="56">
        <f>I74</f>
        <v>0</v>
      </c>
      <c r="E74" s="57"/>
      <c r="F74" s="57"/>
      <c r="G74" s="57"/>
      <c r="H74" s="57"/>
      <c r="I74" s="57">
        <v>0</v>
      </c>
      <c r="J74" s="57"/>
      <c r="K74" s="57"/>
      <c r="L74" s="57"/>
      <c r="M74" s="57"/>
      <c r="N74" s="57"/>
      <c r="O74" s="56">
        <v>0</v>
      </c>
      <c r="P74" s="140"/>
      <c r="Q74" s="140"/>
      <c r="R74" s="140"/>
      <c r="S74" s="140"/>
      <c r="T74" s="140"/>
      <c r="U74" s="370"/>
      <c r="V74" s="337"/>
    </row>
    <row r="75" spans="1:22" s="148" customFormat="1" ht="21.75" customHeight="1">
      <c r="A75" s="386"/>
      <c r="B75" s="386"/>
      <c r="C75" s="51">
        <v>2021</v>
      </c>
      <c r="D75" s="56">
        <f>O75</f>
        <v>0</v>
      </c>
      <c r="E75" s="57"/>
      <c r="F75" s="57"/>
      <c r="G75" s="57"/>
      <c r="H75" s="57"/>
      <c r="I75" s="57">
        <v>0</v>
      </c>
      <c r="J75" s="57"/>
      <c r="K75" s="57"/>
      <c r="L75" s="57"/>
      <c r="M75" s="57"/>
      <c r="N75" s="57"/>
      <c r="O75" s="56">
        <v>0</v>
      </c>
      <c r="P75" s="140"/>
      <c r="Q75" s="140"/>
      <c r="R75" s="140"/>
      <c r="S75" s="140"/>
      <c r="T75" s="140"/>
      <c r="U75" s="370"/>
      <c r="V75" s="337"/>
    </row>
    <row r="76" spans="1:22" s="148" customFormat="1" ht="21.75" customHeight="1">
      <c r="A76" s="387"/>
      <c r="B76" s="387"/>
      <c r="C76" s="51">
        <v>2022</v>
      </c>
      <c r="D76" s="56">
        <f>O76</f>
        <v>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6">
        <v>0</v>
      </c>
      <c r="P76" s="200"/>
      <c r="Q76" s="200"/>
      <c r="R76" s="200"/>
      <c r="S76" s="200"/>
      <c r="T76" s="200"/>
      <c r="U76" s="370"/>
      <c r="V76" s="337"/>
    </row>
    <row r="77" spans="1:22" s="148" customFormat="1" ht="14.25">
      <c r="A77" s="385"/>
      <c r="B77" s="404" t="s">
        <v>202</v>
      </c>
      <c r="C77" s="50">
        <v>2017</v>
      </c>
      <c r="D77" s="67">
        <f>O77</f>
        <v>0</v>
      </c>
      <c r="E77" s="57"/>
      <c r="F77" s="57"/>
      <c r="G77" s="57"/>
      <c r="H77" s="57"/>
      <c r="I77" s="57">
        <v>0</v>
      </c>
      <c r="J77" s="57"/>
      <c r="K77" s="57"/>
      <c r="L77" s="57"/>
      <c r="M77" s="57"/>
      <c r="N77" s="57"/>
      <c r="O77" s="67">
        <f>O59</f>
        <v>0</v>
      </c>
      <c r="P77" s="140"/>
      <c r="Q77" s="140"/>
      <c r="R77" s="140"/>
      <c r="S77" s="140"/>
      <c r="T77" s="140"/>
      <c r="U77" s="256"/>
      <c r="V77" s="48"/>
    </row>
    <row r="78" spans="1:22" s="148" customFormat="1" ht="14.25">
      <c r="A78" s="386"/>
      <c r="B78" s="405"/>
      <c r="C78" s="50">
        <v>2018</v>
      </c>
      <c r="D78" s="67">
        <f>O78</f>
        <v>70</v>
      </c>
      <c r="E78" s="68"/>
      <c r="F78" s="68"/>
      <c r="G78" s="68"/>
      <c r="H78" s="68"/>
      <c r="I78" s="68">
        <v>0</v>
      </c>
      <c r="J78" s="68"/>
      <c r="K78" s="68"/>
      <c r="L78" s="68"/>
      <c r="M78" s="68"/>
      <c r="N78" s="68"/>
      <c r="O78" s="67">
        <f>O66</f>
        <v>70</v>
      </c>
      <c r="P78" s="140"/>
      <c r="Q78" s="140"/>
      <c r="R78" s="140"/>
      <c r="S78" s="140"/>
      <c r="T78" s="140"/>
      <c r="U78" s="256"/>
      <c r="V78" s="48"/>
    </row>
    <row r="79" spans="1:22" s="148" customFormat="1" ht="14.25">
      <c r="A79" s="386"/>
      <c r="B79" s="405"/>
      <c r="C79" s="50">
        <v>2019</v>
      </c>
      <c r="D79" s="67">
        <f>I79+O79+H79</f>
        <v>5104.634999999999</v>
      </c>
      <c r="E79" s="68"/>
      <c r="F79" s="68"/>
      <c r="G79" s="68">
        <f>G73+G61</f>
        <v>4738.099999999999</v>
      </c>
      <c r="H79" s="68">
        <f>H61</f>
        <v>0</v>
      </c>
      <c r="I79" s="68">
        <f>I61+I73</f>
        <v>4738.099999999999</v>
      </c>
      <c r="J79" s="68"/>
      <c r="K79" s="68"/>
      <c r="L79" s="68"/>
      <c r="M79" s="68"/>
      <c r="N79" s="68"/>
      <c r="O79" s="67">
        <f>O61+O73</f>
        <v>366.535</v>
      </c>
      <c r="P79" s="140"/>
      <c r="Q79" s="140"/>
      <c r="R79" s="140"/>
      <c r="S79" s="140"/>
      <c r="T79" s="140"/>
      <c r="U79" s="256"/>
      <c r="V79" s="48"/>
    </row>
    <row r="80" spans="1:22" s="148" customFormat="1" ht="14.25">
      <c r="A80" s="386"/>
      <c r="B80" s="405"/>
      <c r="C80" s="50">
        <v>2020</v>
      </c>
      <c r="D80" s="67">
        <f>O80+I80</f>
        <v>0</v>
      </c>
      <c r="E80" s="68"/>
      <c r="F80" s="68"/>
      <c r="G80" s="68"/>
      <c r="H80" s="68"/>
      <c r="I80" s="68">
        <f>I62</f>
        <v>0</v>
      </c>
      <c r="J80" s="68"/>
      <c r="K80" s="68"/>
      <c r="L80" s="68"/>
      <c r="M80" s="68"/>
      <c r="N80" s="68"/>
      <c r="O80" s="67">
        <v>0</v>
      </c>
      <c r="P80" s="140"/>
      <c r="Q80" s="140"/>
      <c r="R80" s="140"/>
      <c r="S80" s="140"/>
      <c r="T80" s="140"/>
      <c r="U80" s="256"/>
      <c r="V80" s="48"/>
    </row>
    <row r="81" spans="1:22" s="148" customFormat="1" ht="14.25">
      <c r="A81" s="386"/>
      <c r="B81" s="405"/>
      <c r="C81" s="50">
        <v>2021</v>
      </c>
      <c r="D81" s="67">
        <f>I81</f>
        <v>0</v>
      </c>
      <c r="E81" s="68"/>
      <c r="F81" s="68"/>
      <c r="G81" s="68"/>
      <c r="H81" s="68"/>
      <c r="I81" s="68">
        <v>0</v>
      </c>
      <c r="J81" s="68"/>
      <c r="K81" s="68"/>
      <c r="L81" s="68"/>
      <c r="M81" s="68"/>
      <c r="N81" s="68"/>
      <c r="O81" s="67">
        <v>0</v>
      </c>
      <c r="P81" s="140"/>
      <c r="Q81" s="140"/>
      <c r="R81" s="140"/>
      <c r="S81" s="140"/>
      <c r="T81" s="140"/>
      <c r="U81" s="138"/>
      <c r="V81" s="139"/>
    </row>
    <row r="82" spans="1:22" s="148" customFormat="1" ht="14.25">
      <c r="A82" s="387"/>
      <c r="B82" s="406"/>
      <c r="C82" s="204">
        <v>2022</v>
      </c>
      <c r="D82" s="67">
        <f>O82</f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7">
        <f>O76+O70+O64</f>
        <v>0</v>
      </c>
      <c r="P82" s="200"/>
      <c r="Q82" s="200"/>
      <c r="R82" s="200"/>
      <c r="S82" s="200"/>
      <c r="T82" s="200"/>
      <c r="U82" s="138"/>
      <c r="V82" s="209"/>
    </row>
    <row r="83" spans="1:22" s="148" customFormat="1" ht="14.25">
      <c r="A83" s="385"/>
      <c r="B83" s="404" t="s">
        <v>94</v>
      </c>
      <c r="C83" s="50">
        <v>2017</v>
      </c>
      <c r="D83" s="67">
        <f>O83</f>
        <v>358.5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67">
        <f>O77+O49</f>
        <v>358.5</v>
      </c>
      <c r="P83" s="140"/>
      <c r="Q83" s="140"/>
      <c r="R83" s="140"/>
      <c r="S83" s="140"/>
      <c r="T83" s="140"/>
      <c r="U83" s="48"/>
      <c r="V83" s="140"/>
    </row>
    <row r="84" spans="1:22" s="148" customFormat="1" ht="14.25">
      <c r="A84" s="386"/>
      <c r="B84" s="405"/>
      <c r="C84" s="50">
        <v>2018</v>
      </c>
      <c r="D84" s="67">
        <f>O84</f>
        <v>428.5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7">
        <f>O78+O50</f>
        <v>428.5</v>
      </c>
      <c r="P84" s="140"/>
      <c r="Q84" s="140"/>
      <c r="R84" s="140"/>
      <c r="S84" s="140"/>
      <c r="T84" s="140"/>
      <c r="U84" s="48"/>
      <c r="V84" s="140"/>
    </row>
    <row r="85" spans="1:22" s="148" customFormat="1" ht="14.25">
      <c r="A85" s="386"/>
      <c r="B85" s="405"/>
      <c r="C85" s="50">
        <v>2019</v>
      </c>
      <c r="D85" s="67">
        <f>O85+I85+H85</f>
        <v>5504.634999999999</v>
      </c>
      <c r="E85" s="68"/>
      <c r="F85" s="68"/>
      <c r="G85" s="68">
        <f>H85+I85</f>
        <v>4738.099999999999</v>
      </c>
      <c r="H85" s="68">
        <f>H61</f>
        <v>0</v>
      </c>
      <c r="I85" s="68">
        <f>I79</f>
        <v>4738.099999999999</v>
      </c>
      <c r="J85" s="68"/>
      <c r="K85" s="68"/>
      <c r="L85" s="68"/>
      <c r="M85" s="68"/>
      <c r="N85" s="68"/>
      <c r="O85" s="67">
        <f>O79+O51</f>
        <v>766.5350000000001</v>
      </c>
      <c r="P85" s="140"/>
      <c r="Q85" s="140"/>
      <c r="R85" s="140"/>
      <c r="S85" s="140"/>
      <c r="T85" s="140"/>
      <c r="U85" s="48"/>
      <c r="V85" s="140"/>
    </row>
    <row r="86" spans="1:22" s="148" customFormat="1" ht="14.25">
      <c r="A86" s="386"/>
      <c r="B86" s="405"/>
      <c r="C86" s="50">
        <v>2020</v>
      </c>
      <c r="D86" s="67">
        <f>O86+I86</f>
        <v>400</v>
      </c>
      <c r="E86" s="68"/>
      <c r="F86" s="68"/>
      <c r="G86" s="68"/>
      <c r="H86" s="68"/>
      <c r="I86" s="68">
        <f>I80</f>
        <v>0</v>
      </c>
      <c r="J86" s="68"/>
      <c r="K86" s="68"/>
      <c r="L86" s="68"/>
      <c r="M86" s="68"/>
      <c r="N86" s="68"/>
      <c r="O86" s="67">
        <f>O80+O52</f>
        <v>400</v>
      </c>
      <c r="P86" s="140"/>
      <c r="Q86" s="140"/>
      <c r="R86" s="140"/>
      <c r="S86" s="140"/>
      <c r="T86" s="140"/>
      <c r="U86" s="69"/>
      <c r="V86" s="140"/>
    </row>
    <row r="87" spans="1:22" s="148" customFormat="1" ht="14.25">
      <c r="A87" s="386"/>
      <c r="B87" s="405"/>
      <c r="C87" s="50">
        <v>2021</v>
      </c>
      <c r="D87" s="67">
        <f>O87+I87</f>
        <v>400</v>
      </c>
      <c r="E87" s="68"/>
      <c r="F87" s="68"/>
      <c r="G87" s="68"/>
      <c r="H87" s="68"/>
      <c r="I87" s="68">
        <v>0</v>
      </c>
      <c r="J87" s="68"/>
      <c r="K87" s="68"/>
      <c r="L87" s="68"/>
      <c r="M87" s="68"/>
      <c r="N87" s="68"/>
      <c r="O87" s="67">
        <f>O53</f>
        <v>400</v>
      </c>
      <c r="P87" s="140"/>
      <c r="Q87" s="140"/>
      <c r="R87" s="140"/>
      <c r="S87" s="140"/>
      <c r="T87" s="140"/>
      <c r="U87" s="69"/>
      <c r="V87" s="140"/>
    </row>
    <row r="88" spans="1:22" s="148" customFormat="1" ht="14.25">
      <c r="A88" s="387"/>
      <c r="B88" s="406"/>
      <c r="C88" s="204">
        <v>2022</v>
      </c>
      <c r="D88" s="67">
        <f>O88</f>
        <v>400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7">
        <f>O820+O54</f>
        <v>400</v>
      </c>
      <c r="P88" s="200"/>
      <c r="Q88" s="200"/>
      <c r="R88" s="200"/>
      <c r="S88" s="200"/>
      <c r="T88" s="200"/>
      <c r="U88" s="69"/>
      <c r="V88" s="200"/>
    </row>
    <row r="89" spans="1:22" s="148" customFormat="1" ht="14.25">
      <c r="A89" s="52"/>
      <c r="B89" s="52"/>
      <c r="C89" s="70" t="s">
        <v>293</v>
      </c>
      <c r="D89" s="71">
        <f>O89+I89+H89</f>
        <v>7491.634999999999</v>
      </c>
      <c r="E89" s="72"/>
      <c r="F89" s="72"/>
      <c r="G89" s="71">
        <f>H89+I89</f>
        <v>4738.099999999999</v>
      </c>
      <c r="H89" s="71">
        <f>H85</f>
        <v>0</v>
      </c>
      <c r="I89" s="71">
        <f>I83+I84+I85+I86</f>
        <v>4738.099999999999</v>
      </c>
      <c r="J89" s="72"/>
      <c r="K89" s="72"/>
      <c r="L89" s="72"/>
      <c r="M89" s="72"/>
      <c r="N89" s="72"/>
      <c r="O89" s="71">
        <f>SUM(O83:O88)</f>
        <v>2753.535</v>
      </c>
      <c r="P89" s="52"/>
      <c r="Q89" s="52"/>
      <c r="R89" s="52"/>
      <c r="S89" s="52"/>
      <c r="T89" s="52"/>
      <c r="U89" s="52"/>
      <c r="V89" s="52"/>
    </row>
    <row r="90" s="148" customFormat="1" ht="14.25">
      <c r="O90" s="160"/>
    </row>
  </sheetData>
  <sheetProtection/>
  <mergeCells count="75">
    <mergeCell ref="P4:V4"/>
    <mergeCell ref="P2:V2"/>
    <mergeCell ref="P3:V3"/>
    <mergeCell ref="A77:A82"/>
    <mergeCell ref="B77:B82"/>
    <mergeCell ref="A83:A88"/>
    <mergeCell ref="B83:B88"/>
    <mergeCell ref="B43:B48"/>
    <mergeCell ref="A59:A64"/>
    <mergeCell ref="B59:B64"/>
    <mergeCell ref="A71:A76"/>
    <mergeCell ref="A18:A23"/>
    <mergeCell ref="B18:B23"/>
    <mergeCell ref="A24:A30"/>
    <mergeCell ref="B24:B30"/>
    <mergeCell ref="A31:A36"/>
    <mergeCell ref="B31:B36"/>
    <mergeCell ref="D25:D26"/>
    <mergeCell ref="B71:B76"/>
    <mergeCell ref="U43:U48"/>
    <mergeCell ref="A49:A54"/>
    <mergeCell ref="B49:B54"/>
    <mergeCell ref="S24:U30"/>
    <mergeCell ref="U37:U42"/>
    <mergeCell ref="B37:B42"/>
    <mergeCell ref="A65:A70"/>
    <mergeCell ref="B65:B70"/>
    <mergeCell ref="V43:V46"/>
    <mergeCell ref="A57:A58"/>
    <mergeCell ref="B57:V58"/>
    <mergeCell ref="L45:N45"/>
    <mergeCell ref="P44:T46"/>
    <mergeCell ref="A56:V56"/>
    <mergeCell ref="L44:N44"/>
    <mergeCell ref="A43:A48"/>
    <mergeCell ref="V18:V21"/>
    <mergeCell ref="V24:V28"/>
    <mergeCell ref="U18:U23"/>
    <mergeCell ref="A37:A42"/>
    <mergeCell ref="V31:V34"/>
    <mergeCell ref="V37:V40"/>
    <mergeCell ref="K38:N38"/>
    <mergeCell ref="K40:N40"/>
    <mergeCell ref="K39:N39"/>
    <mergeCell ref="T31:U36"/>
    <mergeCell ref="O11:O13"/>
    <mergeCell ref="G12:G13"/>
    <mergeCell ref="H12:I12"/>
    <mergeCell ref="Q14:U14"/>
    <mergeCell ref="U9:U13"/>
    <mergeCell ref="C25:C26"/>
    <mergeCell ref="O25:O26"/>
    <mergeCell ref="P25:P26"/>
    <mergeCell ref="J21:N21"/>
    <mergeCell ref="A15:V15"/>
    <mergeCell ref="P9:P13"/>
    <mergeCell ref="A16:V16"/>
    <mergeCell ref="A17:V17"/>
    <mergeCell ref="B2:L2"/>
    <mergeCell ref="B3:L3"/>
    <mergeCell ref="K4:L4"/>
    <mergeCell ref="K5:L5"/>
    <mergeCell ref="G10:O10"/>
    <mergeCell ref="E10:E13"/>
    <mergeCell ref="G11:J11"/>
    <mergeCell ref="V59:V70"/>
    <mergeCell ref="U59:U70"/>
    <mergeCell ref="V71:V76"/>
    <mergeCell ref="U71:U76"/>
    <mergeCell ref="V9:V13"/>
    <mergeCell ref="A9:A13"/>
    <mergeCell ref="B9:B13"/>
    <mergeCell ref="C9:C13"/>
    <mergeCell ref="D9:D13"/>
    <mergeCell ref="E9:O9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PageLayoutView="0" workbookViewId="0" topLeftCell="A56">
      <selection activeCell="B98" sqref="B98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ht="14.25">
      <c r="M1" s="245"/>
    </row>
    <row r="2" spans="1:13" ht="15">
      <c r="A2" s="34"/>
      <c r="B2" s="416" t="s">
        <v>309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5">
      <c r="A3" s="34"/>
      <c r="B3" s="32"/>
      <c r="C3" s="32"/>
      <c r="D3" s="32"/>
      <c r="E3" s="32"/>
      <c r="F3" s="32"/>
      <c r="G3" s="32"/>
      <c r="H3" s="32"/>
      <c r="I3" s="32"/>
      <c r="J3" s="32"/>
      <c r="K3" s="416" t="s">
        <v>316</v>
      </c>
      <c r="L3" s="416"/>
      <c r="M3" s="416"/>
    </row>
    <row r="4" spans="1:13" ht="19.5" customHeight="1">
      <c r="A4" s="32"/>
      <c r="B4" s="33"/>
      <c r="C4" s="33"/>
      <c r="D4" s="33"/>
      <c r="E4" s="33"/>
      <c r="F4" s="33"/>
      <c r="G4" s="33"/>
      <c r="H4" s="33"/>
      <c r="I4" s="33"/>
      <c r="J4" s="32"/>
      <c r="K4" s="416" t="s">
        <v>317</v>
      </c>
      <c r="L4" s="416"/>
      <c r="M4" s="416"/>
    </row>
    <row r="5" spans="1:13" ht="16.5" customHeight="1">
      <c r="A5" s="32"/>
      <c r="B5" s="34"/>
      <c r="C5" s="34"/>
      <c r="D5" s="34"/>
      <c r="E5" s="35"/>
      <c r="F5" s="35"/>
      <c r="G5" s="35"/>
      <c r="H5" s="34"/>
      <c r="I5" s="36"/>
      <c r="J5" s="34"/>
      <c r="K5" s="255"/>
      <c r="L5" s="416" t="s">
        <v>318</v>
      </c>
      <c r="M5" s="416"/>
    </row>
    <row r="6" spans="1:13" ht="16.5" customHeight="1">
      <c r="A6" s="32"/>
      <c r="B6" s="34"/>
      <c r="C6" s="34"/>
      <c r="D6" s="34"/>
      <c r="E6" s="35"/>
      <c r="F6" s="35"/>
      <c r="G6" s="35"/>
      <c r="H6" s="34"/>
      <c r="I6" s="36"/>
      <c r="J6" s="34"/>
      <c r="K6" s="34"/>
      <c r="L6" s="33"/>
      <c r="M6" s="33"/>
    </row>
    <row r="7" spans="1:13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 customHeight="1">
      <c r="A8" s="417" t="s">
        <v>157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8"/>
    </row>
    <row r="9" spans="1:13" ht="21.75" customHeight="1">
      <c r="A9" s="414" t="s">
        <v>0</v>
      </c>
      <c r="B9" s="414" t="s">
        <v>1</v>
      </c>
      <c r="C9" s="414" t="s">
        <v>2</v>
      </c>
      <c r="D9" s="414" t="s">
        <v>76</v>
      </c>
      <c r="E9" s="414" t="s">
        <v>77</v>
      </c>
      <c r="F9" s="414"/>
      <c r="G9" s="414"/>
      <c r="H9" s="414"/>
      <c r="I9" s="414"/>
      <c r="J9" s="419" t="s">
        <v>23</v>
      </c>
      <c r="K9" s="414" t="s">
        <v>68</v>
      </c>
      <c r="L9" s="414"/>
      <c r="M9" s="414" t="s">
        <v>69</v>
      </c>
    </row>
    <row r="10" spans="1:13" ht="15" customHeight="1">
      <c r="A10" s="414"/>
      <c r="B10" s="414"/>
      <c r="C10" s="414"/>
      <c r="D10" s="414"/>
      <c r="E10" s="414"/>
      <c r="F10" s="414"/>
      <c r="G10" s="414"/>
      <c r="H10" s="414"/>
      <c r="I10" s="414"/>
      <c r="J10" s="420"/>
      <c r="K10" s="414"/>
      <c r="L10" s="414"/>
      <c r="M10" s="414"/>
    </row>
    <row r="11" spans="1:13" ht="30" customHeight="1">
      <c r="A11" s="414"/>
      <c r="B11" s="414"/>
      <c r="C11" s="414"/>
      <c r="D11" s="414"/>
      <c r="E11" s="414" t="s">
        <v>22</v>
      </c>
      <c r="F11" s="415" t="s">
        <v>6</v>
      </c>
      <c r="G11" s="415"/>
      <c r="H11" s="415"/>
      <c r="I11" s="415"/>
      <c r="J11" s="420"/>
      <c r="K11" s="414"/>
      <c r="L11" s="414"/>
      <c r="M11" s="414"/>
    </row>
    <row r="12" spans="1:13" ht="15" customHeight="1">
      <c r="A12" s="414"/>
      <c r="B12" s="414"/>
      <c r="C12" s="414"/>
      <c r="D12" s="414"/>
      <c r="E12" s="414"/>
      <c r="F12" s="414" t="s">
        <v>208</v>
      </c>
      <c r="G12" s="414"/>
      <c r="H12" s="414"/>
      <c r="I12" s="414" t="s">
        <v>25</v>
      </c>
      <c r="J12" s="420"/>
      <c r="K12" s="414"/>
      <c r="L12" s="414"/>
      <c r="M12" s="414"/>
    </row>
    <row r="13" spans="1:13" ht="15" customHeight="1">
      <c r="A13" s="414"/>
      <c r="B13" s="414"/>
      <c r="C13" s="414"/>
      <c r="D13" s="414"/>
      <c r="E13" s="414"/>
      <c r="F13" s="414" t="s">
        <v>209</v>
      </c>
      <c r="G13" s="414" t="s">
        <v>204</v>
      </c>
      <c r="H13" s="414"/>
      <c r="I13" s="414"/>
      <c r="J13" s="420"/>
      <c r="K13" s="414"/>
      <c r="L13" s="414"/>
      <c r="M13" s="414"/>
    </row>
    <row r="14" spans="1:13" ht="94.5" customHeight="1">
      <c r="A14" s="414"/>
      <c r="B14" s="414"/>
      <c r="C14" s="414"/>
      <c r="D14" s="414"/>
      <c r="E14" s="415"/>
      <c r="F14" s="414"/>
      <c r="G14" s="38" t="s">
        <v>210</v>
      </c>
      <c r="H14" s="38" t="s">
        <v>211</v>
      </c>
      <c r="I14" s="414"/>
      <c r="J14" s="421"/>
      <c r="K14" s="414"/>
      <c r="L14" s="414"/>
      <c r="M14" s="414"/>
    </row>
    <row r="15" spans="1:13" ht="1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414">
        <v>11</v>
      </c>
      <c r="L15" s="414"/>
      <c r="M15" s="30">
        <v>12</v>
      </c>
    </row>
    <row r="16" spans="1:13" ht="15">
      <c r="A16" s="429" t="s">
        <v>70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</row>
    <row r="17" spans="1:16" ht="37.5" customHeight="1">
      <c r="A17" s="445" t="s">
        <v>114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P17" t="s">
        <v>39</v>
      </c>
    </row>
    <row r="18" spans="1:13" ht="37.5" customHeight="1">
      <c r="A18" s="446" t="s">
        <v>9</v>
      </c>
      <c r="B18" s="446" t="s">
        <v>118</v>
      </c>
      <c r="C18" s="215">
        <v>2017</v>
      </c>
      <c r="D18" s="73">
        <v>4</v>
      </c>
      <c r="E18" s="73"/>
      <c r="F18" s="73"/>
      <c r="G18" s="73"/>
      <c r="H18" s="73"/>
      <c r="I18" s="73">
        <v>4</v>
      </c>
      <c r="J18" s="74"/>
      <c r="K18" s="436" t="s">
        <v>71</v>
      </c>
      <c r="L18" s="426"/>
      <c r="M18" s="394" t="s">
        <v>119</v>
      </c>
    </row>
    <row r="19" spans="1:13" ht="39" customHeight="1">
      <c r="A19" s="446"/>
      <c r="B19" s="446"/>
      <c r="C19" s="215">
        <v>2018</v>
      </c>
      <c r="D19" s="75">
        <f>SUM(E19:I19)</f>
        <v>4</v>
      </c>
      <c r="E19" s="73"/>
      <c r="F19" s="73"/>
      <c r="G19" s="73"/>
      <c r="H19" s="76"/>
      <c r="I19" s="75">
        <v>4</v>
      </c>
      <c r="J19" s="217"/>
      <c r="K19" s="442"/>
      <c r="L19" s="427"/>
      <c r="M19" s="444"/>
    </row>
    <row r="20" spans="1:13" ht="39" customHeight="1">
      <c r="A20" s="446"/>
      <c r="B20" s="446"/>
      <c r="C20" s="215">
        <v>2019</v>
      </c>
      <c r="D20" s="73">
        <f>SUM(E20:I20)</f>
        <v>4</v>
      </c>
      <c r="E20" s="73"/>
      <c r="F20" s="73"/>
      <c r="G20" s="73"/>
      <c r="H20" s="76"/>
      <c r="I20" s="73">
        <v>4</v>
      </c>
      <c r="J20" s="217"/>
      <c r="K20" s="442"/>
      <c r="L20" s="427"/>
      <c r="M20" s="444"/>
    </row>
    <row r="21" spans="1:13" ht="38.25" customHeight="1">
      <c r="A21" s="446"/>
      <c r="B21" s="446"/>
      <c r="C21" s="215">
        <v>2020</v>
      </c>
      <c r="D21" s="73">
        <f>SUM(E21:I21)</f>
        <v>4</v>
      </c>
      <c r="E21" s="73"/>
      <c r="F21" s="73"/>
      <c r="G21" s="73"/>
      <c r="H21" s="76"/>
      <c r="I21" s="73">
        <v>4</v>
      </c>
      <c r="J21" s="217"/>
      <c r="K21" s="442"/>
      <c r="L21" s="427"/>
      <c r="M21" s="444"/>
    </row>
    <row r="22" spans="1:13" ht="38.25" customHeight="1">
      <c r="A22" s="446"/>
      <c r="B22" s="446"/>
      <c r="C22" s="215">
        <v>2021</v>
      </c>
      <c r="D22" s="73">
        <f>I22</f>
        <v>4</v>
      </c>
      <c r="E22" s="73"/>
      <c r="F22" s="73"/>
      <c r="G22" s="73"/>
      <c r="H22" s="76"/>
      <c r="I22" s="73">
        <v>4</v>
      </c>
      <c r="J22" s="217"/>
      <c r="K22" s="442"/>
      <c r="L22" s="427"/>
      <c r="M22" s="444"/>
    </row>
    <row r="23" spans="1:13" ht="38.25" customHeight="1">
      <c r="A23" s="446"/>
      <c r="B23" s="446"/>
      <c r="C23" s="215">
        <v>2022</v>
      </c>
      <c r="D23" s="73">
        <f>I23</f>
        <v>4</v>
      </c>
      <c r="E23" s="73"/>
      <c r="F23" s="73"/>
      <c r="G23" s="73"/>
      <c r="H23" s="76"/>
      <c r="I23" s="73">
        <v>4</v>
      </c>
      <c r="J23" s="217"/>
      <c r="K23" s="443"/>
      <c r="L23" s="428"/>
      <c r="M23" s="395"/>
    </row>
    <row r="24" spans="1:13" ht="15.75" customHeight="1">
      <c r="A24" s="423" t="s">
        <v>120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5"/>
    </row>
    <row r="25" spans="1:13" ht="32.25" customHeight="1">
      <c r="A25" s="446" t="s">
        <v>117</v>
      </c>
      <c r="B25" s="446" t="s">
        <v>121</v>
      </c>
      <c r="C25" s="77">
        <v>2017</v>
      </c>
      <c r="D25" s="78">
        <v>1.5</v>
      </c>
      <c r="E25" s="77"/>
      <c r="F25" s="77"/>
      <c r="G25" s="77"/>
      <c r="H25" s="77"/>
      <c r="I25" s="78">
        <v>1.5</v>
      </c>
      <c r="J25" s="217"/>
      <c r="K25" s="436" t="s">
        <v>74</v>
      </c>
      <c r="L25" s="426"/>
      <c r="M25" s="430" t="s">
        <v>141</v>
      </c>
    </row>
    <row r="26" spans="1:16" ht="36" customHeight="1">
      <c r="A26" s="446"/>
      <c r="B26" s="446"/>
      <c r="C26" s="46">
        <v>2018</v>
      </c>
      <c r="D26" s="73">
        <f>SUM(E26:I26)</f>
        <v>1.5</v>
      </c>
      <c r="E26" s="73"/>
      <c r="F26" s="73"/>
      <c r="G26" s="73"/>
      <c r="H26" s="78"/>
      <c r="I26" s="73">
        <v>1.5</v>
      </c>
      <c r="J26" s="217"/>
      <c r="K26" s="442"/>
      <c r="L26" s="427"/>
      <c r="M26" s="431"/>
      <c r="N26" t="s">
        <v>39</v>
      </c>
      <c r="P26" t="s">
        <v>39</v>
      </c>
    </row>
    <row r="27" spans="1:13" ht="35.25" customHeight="1">
      <c r="A27" s="446"/>
      <c r="B27" s="446"/>
      <c r="C27" s="46">
        <v>2019</v>
      </c>
      <c r="D27" s="73">
        <f>SUM(E27:I27)</f>
        <v>1.5</v>
      </c>
      <c r="E27" s="73"/>
      <c r="F27" s="73"/>
      <c r="G27" s="73"/>
      <c r="H27" s="78"/>
      <c r="I27" s="73">
        <v>1.5</v>
      </c>
      <c r="J27" s="217"/>
      <c r="K27" s="442"/>
      <c r="L27" s="427"/>
      <c r="M27" s="431"/>
    </row>
    <row r="28" spans="1:13" ht="51" customHeight="1">
      <c r="A28" s="446"/>
      <c r="B28" s="446"/>
      <c r="C28" s="46">
        <v>2020</v>
      </c>
      <c r="D28" s="73">
        <f>SUM(E28:I28)</f>
        <v>1.5</v>
      </c>
      <c r="E28" s="73"/>
      <c r="F28" s="73"/>
      <c r="G28" s="73"/>
      <c r="H28" s="78"/>
      <c r="I28" s="73">
        <v>1.5</v>
      </c>
      <c r="J28" s="217"/>
      <c r="K28" s="442"/>
      <c r="L28" s="427"/>
      <c r="M28" s="431"/>
    </row>
    <row r="29" spans="1:13" ht="51" customHeight="1">
      <c r="A29" s="446"/>
      <c r="B29" s="446"/>
      <c r="C29" s="215">
        <v>2021</v>
      </c>
      <c r="D29" s="73">
        <f>I29</f>
        <v>1.5</v>
      </c>
      <c r="E29" s="73"/>
      <c r="F29" s="73"/>
      <c r="G29" s="73"/>
      <c r="H29" s="78"/>
      <c r="I29" s="73">
        <v>1.5</v>
      </c>
      <c r="J29" s="218"/>
      <c r="K29" s="442"/>
      <c r="L29" s="427"/>
      <c r="M29" s="431"/>
    </row>
    <row r="30" spans="1:13" ht="40.5" customHeight="1">
      <c r="A30" s="446"/>
      <c r="B30" s="446"/>
      <c r="C30" s="46">
        <v>2022</v>
      </c>
      <c r="D30" s="73">
        <f>I30</f>
        <v>1.5</v>
      </c>
      <c r="E30" s="73"/>
      <c r="F30" s="73"/>
      <c r="G30" s="73"/>
      <c r="H30" s="78"/>
      <c r="I30" s="73">
        <v>1.5</v>
      </c>
      <c r="J30" s="218"/>
      <c r="K30" s="443"/>
      <c r="L30" s="428"/>
      <c r="M30" s="432"/>
    </row>
    <row r="31" spans="1:13" ht="15.75" customHeight="1">
      <c r="A31" s="423" t="s">
        <v>122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5"/>
    </row>
    <row r="32" spans="1:13" ht="32.25" customHeight="1">
      <c r="A32" s="430" t="s">
        <v>123</v>
      </c>
      <c r="B32" s="430" t="s">
        <v>124</v>
      </c>
      <c r="C32" s="77">
        <v>2017</v>
      </c>
      <c r="D32" s="78">
        <f>I32</f>
        <v>7.6</v>
      </c>
      <c r="E32" s="78"/>
      <c r="F32" s="78"/>
      <c r="G32" s="78"/>
      <c r="H32" s="78"/>
      <c r="I32" s="78">
        <v>7.6</v>
      </c>
      <c r="J32" s="217"/>
      <c r="K32" s="436" t="s">
        <v>71</v>
      </c>
      <c r="L32" s="426"/>
      <c r="M32" s="426" t="s">
        <v>125</v>
      </c>
    </row>
    <row r="33" spans="1:14" ht="35.25" customHeight="1">
      <c r="A33" s="431"/>
      <c r="B33" s="431"/>
      <c r="C33" s="46">
        <v>2018</v>
      </c>
      <c r="D33" s="73">
        <f aca="true" t="shared" si="0" ref="D33:D89">SUM(E33:I33)</f>
        <v>1.75</v>
      </c>
      <c r="E33" s="73"/>
      <c r="F33" s="73"/>
      <c r="G33" s="73"/>
      <c r="H33" s="78"/>
      <c r="I33" s="73">
        <v>1.75</v>
      </c>
      <c r="J33" s="217"/>
      <c r="K33" s="442"/>
      <c r="L33" s="427"/>
      <c r="M33" s="427"/>
      <c r="N33" t="s">
        <v>39</v>
      </c>
    </row>
    <row r="34" spans="1:15" ht="35.25" customHeight="1">
      <c r="A34" s="431"/>
      <c r="B34" s="431"/>
      <c r="C34" s="46">
        <v>2019</v>
      </c>
      <c r="D34" s="73">
        <f t="shared" si="0"/>
        <v>7.6</v>
      </c>
      <c r="E34" s="73"/>
      <c r="F34" s="73"/>
      <c r="G34" s="73"/>
      <c r="H34" s="78"/>
      <c r="I34" s="73">
        <v>7.6</v>
      </c>
      <c r="J34" s="217"/>
      <c r="K34" s="442"/>
      <c r="L34" s="427"/>
      <c r="M34" s="427"/>
      <c r="O34" s="7"/>
    </row>
    <row r="35" spans="1:20" ht="35.25" customHeight="1">
      <c r="A35" s="431"/>
      <c r="B35" s="431"/>
      <c r="C35" s="79">
        <v>2020</v>
      </c>
      <c r="D35" s="73">
        <f t="shared" si="0"/>
        <v>7.6</v>
      </c>
      <c r="E35" s="73"/>
      <c r="F35" s="73"/>
      <c r="G35" s="73"/>
      <c r="H35" s="78"/>
      <c r="I35" s="73">
        <v>7.6</v>
      </c>
      <c r="J35" s="217"/>
      <c r="K35" s="442"/>
      <c r="L35" s="427"/>
      <c r="M35" s="427"/>
      <c r="T35" t="s">
        <v>39</v>
      </c>
    </row>
    <row r="36" spans="1:13" ht="35.25" customHeight="1">
      <c r="A36" s="431"/>
      <c r="B36" s="431"/>
      <c r="C36" s="216">
        <v>2021</v>
      </c>
      <c r="D36" s="73">
        <f>I36</f>
        <v>7.6</v>
      </c>
      <c r="E36" s="73"/>
      <c r="F36" s="73"/>
      <c r="G36" s="73"/>
      <c r="H36" s="78"/>
      <c r="I36" s="73">
        <v>7.6</v>
      </c>
      <c r="J36" s="218"/>
      <c r="K36" s="442"/>
      <c r="L36" s="427"/>
      <c r="M36" s="427"/>
    </row>
    <row r="37" spans="1:13" ht="35.25" customHeight="1">
      <c r="A37" s="432"/>
      <c r="B37" s="432"/>
      <c r="C37" s="79">
        <v>2022</v>
      </c>
      <c r="D37" s="73">
        <f>I37</f>
        <v>7.6000000000000005</v>
      </c>
      <c r="E37" s="73"/>
      <c r="F37" s="73"/>
      <c r="G37" s="73"/>
      <c r="H37" s="78"/>
      <c r="I37" s="73">
        <f>I42+I48+I54</f>
        <v>7.6000000000000005</v>
      </c>
      <c r="J37" s="218"/>
      <c r="K37" s="443"/>
      <c r="L37" s="428"/>
      <c r="M37" s="427"/>
    </row>
    <row r="38" spans="1:13" ht="35.25" customHeight="1">
      <c r="A38" s="430" t="s">
        <v>63</v>
      </c>
      <c r="B38" s="430" t="s">
        <v>126</v>
      </c>
      <c r="C38" s="79">
        <v>2017</v>
      </c>
      <c r="D38" s="73">
        <f>I38</f>
        <v>6.4</v>
      </c>
      <c r="E38" s="73"/>
      <c r="F38" s="73"/>
      <c r="G38" s="73"/>
      <c r="H38" s="78"/>
      <c r="I38" s="73">
        <v>6.4</v>
      </c>
      <c r="J38" s="217"/>
      <c r="K38" s="436" t="s">
        <v>71</v>
      </c>
      <c r="L38" s="426"/>
      <c r="M38" s="427"/>
    </row>
    <row r="39" spans="1:17" ht="35.25" customHeight="1">
      <c r="A39" s="431"/>
      <c r="B39" s="431"/>
      <c r="C39" s="46">
        <v>2018</v>
      </c>
      <c r="D39" s="73">
        <f t="shared" si="0"/>
        <v>0</v>
      </c>
      <c r="E39" s="73"/>
      <c r="F39" s="73"/>
      <c r="G39" s="73"/>
      <c r="H39" s="78"/>
      <c r="I39" s="73">
        <v>0</v>
      </c>
      <c r="J39" s="217"/>
      <c r="K39" s="442"/>
      <c r="L39" s="427"/>
      <c r="M39" s="427"/>
      <c r="Q39" t="s">
        <v>39</v>
      </c>
    </row>
    <row r="40" spans="1:13" ht="35.25" customHeight="1">
      <c r="A40" s="431"/>
      <c r="B40" s="431"/>
      <c r="C40" s="46">
        <v>2019</v>
      </c>
      <c r="D40" s="73">
        <f t="shared" si="0"/>
        <v>3</v>
      </c>
      <c r="E40" s="73"/>
      <c r="F40" s="73"/>
      <c r="G40" s="73"/>
      <c r="H40" s="78"/>
      <c r="I40" s="73">
        <v>3</v>
      </c>
      <c r="J40" s="217"/>
      <c r="K40" s="442"/>
      <c r="L40" s="427"/>
      <c r="M40" s="427"/>
    </row>
    <row r="41" spans="1:13" ht="35.25" customHeight="1">
      <c r="A41" s="431"/>
      <c r="B41" s="431"/>
      <c r="C41" s="79">
        <v>2020</v>
      </c>
      <c r="D41" s="73">
        <f t="shared" si="0"/>
        <v>3</v>
      </c>
      <c r="E41" s="73"/>
      <c r="F41" s="73"/>
      <c r="G41" s="73"/>
      <c r="H41" s="78"/>
      <c r="I41" s="73">
        <v>3</v>
      </c>
      <c r="J41" s="217"/>
      <c r="K41" s="442"/>
      <c r="L41" s="427"/>
      <c r="M41" s="427"/>
    </row>
    <row r="42" spans="1:13" ht="35.25" customHeight="1">
      <c r="A42" s="431"/>
      <c r="B42" s="431"/>
      <c r="C42" s="79">
        <v>2021</v>
      </c>
      <c r="D42" s="73">
        <f>I42</f>
        <v>3</v>
      </c>
      <c r="E42" s="73"/>
      <c r="F42" s="73"/>
      <c r="G42" s="73"/>
      <c r="H42" s="78"/>
      <c r="I42" s="73">
        <v>3</v>
      </c>
      <c r="J42" s="218"/>
      <c r="K42" s="443"/>
      <c r="L42" s="428"/>
      <c r="M42" s="427"/>
    </row>
    <row r="43" spans="1:13" ht="35.25" customHeight="1">
      <c r="A43" s="432"/>
      <c r="B43" s="432"/>
      <c r="C43" s="216">
        <v>2022</v>
      </c>
      <c r="D43" s="73">
        <f>I43</f>
        <v>3</v>
      </c>
      <c r="E43" s="73"/>
      <c r="F43" s="73"/>
      <c r="G43" s="73"/>
      <c r="H43" s="78"/>
      <c r="I43" s="73">
        <v>3</v>
      </c>
      <c r="J43" s="218"/>
      <c r="K43" s="212"/>
      <c r="L43" s="213"/>
      <c r="M43" s="427"/>
    </row>
    <row r="44" spans="1:13" ht="35.25" customHeight="1">
      <c r="A44" s="430" t="s">
        <v>127</v>
      </c>
      <c r="B44" s="430" t="s">
        <v>128</v>
      </c>
      <c r="C44" s="79">
        <v>2017</v>
      </c>
      <c r="D44" s="73">
        <f>I44</f>
        <v>0</v>
      </c>
      <c r="E44" s="73"/>
      <c r="F44" s="73"/>
      <c r="G44" s="73"/>
      <c r="H44" s="78"/>
      <c r="I44" s="73">
        <v>0</v>
      </c>
      <c r="J44" s="218"/>
      <c r="K44" s="436" t="s">
        <v>71</v>
      </c>
      <c r="L44" s="426"/>
      <c r="M44" s="427"/>
    </row>
    <row r="45" spans="1:13" ht="35.25" customHeight="1">
      <c r="A45" s="431"/>
      <c r="B45" s="431"/>
      <c r="C45" s="46">
        <v>2018</v>
      </c>
      <c r="D45" s="73">
        <f t="shared" si="0"/>
        <v>1.75</v>
      </c>
      <c r="E45" s="73"/>
      <c r="F45" s="73"/>
      <c r="G45" s="73"/>
      <c r="H45" s="78"/>
      <c r="I45" s="73">
        <v>1.75</v>
      </c>
      <c r="J45" s="217"/>
      <c r="K45" s="442"/>
      <c r="L45" s="427"/>
      <c r="M45" s="427"/>
    </row>
    <row r="46" spans="1:18" ht="35.25" customHeight="1">
      <c r="A46" s="431"/>
      <c r="B46" s="431"/>
      <c r="C46" s="46">
        <v>2019</v>
      </c>
      <c r="D46" s="73">
        <f t="shared" si="0"/>
        <v>2.4</v>
      </c>
      <c r="E46" s="73"/>
      <c r="F46" s="73"/>
      <c r="G46" s="73"/>
      <c r="H46" s="76"/>
      <c r="I46" s="73">
        <f>2.4</f>
        <v>2.4</v>
      </c>
      <c r="J46" s="217"/>
      <c r="K46" s="442"/>
      <c r="L46" s="427"/>
      <c r="M46" s="427"/>
      <c r="Q46" t="s">
        <v>39</v>
      </c>
      <c r="R46" t="s">
        <v>39</v>
      </c>
    </row>
    <row r="47" spans="1:13" ht="35.25" customHeight="1">
      <c r="A47" s="431"/>
      <c r="B47" s="431"/>
      <c r="C47" s="79">
        <v>2020</v>
      </c>
      <c r="D47" s="73">
        <f t="shared" si="0"/>
        <v>2.4</v>
      </c>
      <c r="E47" s="73"/>
      <c r="F47" s="73"/>
      <c r="G47" s="73"/>
      <c r="H47" s="76"/>
      <c r="I47" s="73">
        <v>2.4</v>
      </c>
      <c r="J47" s="217"/>
      <c r="K47" s="442"/>
      <c r="L47" s="427"/>
      <c r="M47" s="427"/>
    </row>
    <row r="48" spans="1:13" ht="35.25" customHeight="1">
      <c r="A48" s="431"/>
      <c r="B48" s="431"/>
      <c r="C48" s="79">
        <v>2021</v>
      </c>
      <c r="D48" s="73">
        <f>I48</f>
        <v>2.4</v>
      </c>
      <c r="E48" s="73"/>
      <c r="F48" s="73"/>
      <c r="G48" s="73"/>
      <c r="H48" s="76"/>
      <c r="I48" s="73">
        <v>2.4</v>
      </c>
      <c r="J48" s="217"/>
      <c r="K48" s="442"/>
      <c r="L48" s="427"/>
      <c r="M48" s="427"/>
    </row>
    <row r="49" spans="1:13" ht="35.25" customHeight="1">
      <c r="A49" s="432"/>
      <c r="B49" s="432"/>
      <c r="C49" s="216">
        <v>2022</v>
      </c>
      <c r="D49" s="73">
        <f>I49</f>
        <v>2.4</v>
      </c>
      <c r="E49" s="73"/>
      <c r="F49" s="73"/>
      <c r="G49" s="73"/>
      <c r="H49" s="76"/>
      <c r="I49" s="73">
        <v>2.4</v>
      </c>
      <c r="J49" s="217"/>
      <c r="K49" s="443"/>
      <c r="L49" s="428"/>
      <c r="M49" s="427"/>
    </row>
    <row r="50" spans="1:13" ht="35.25" customHeight="1">
      <c r="A50" s="430" t="s">
        <v>129</v>
      </c>
      <c r="B50" s="430" t="s">
        <v>130</v>
      </c>
      <c r="C50" s="79">
        <v>2017</v>
      </c>
      <c r="D50" s="73">
        <f>I50</f>
        <v>1.2</v>
      </c>
      <c r="E50" s="73"/>
      <c r="F50" s="73"/>
      <c r="G50" s="73"/>
      <c r="H50" s="76"/>
      <c r="I50" s="73">
        <v>1.2</v>
      </c>
      <c r="J50" s="217"/>
      <c r="K50" s="436" t="s">
        <v>71</v>
      </c>
      <c r="L50" s="426"/>
      <c r="M50" s="427"/>
    </row>
    <row r="51" spans="1:13" ht="35.25" customHeight="1">
      <c r="A51" s="431"/>
      <c r="B51" s="431"/>
      <c r="C51" s="46">
        <v>2018</v>
      </c>
      <c r="D51" s="73">
        <f t="shared" si="0"/>
        <v>0</v>
      </c>
      <c r="E51" s="73"/>
      <c r="F51" s="73"/>
      <c r="G51" s="73"/>
      <c r="H51" s="76"/>
      <c r="I51" s="73">
        <v>0</v>
      </c>
      <c r="J51" s="217"/>
      <c r="K51" s="442"/>
      <c r="L51" s="427"/>
      <c r="M51" s="427"/>
    </row>
    <row r="52" spans="1:13" ht="35.25" customHeight="1">
      <c r="A52" s="431"/>
      <c r="B52" s="431"/>
      <c r="C52" s="46">
        <v>2019</v>
      </c>
      <c r="D52" s="73">
        <f t="shared" si="0"/>
        <v>2.2</v>
      </c>
      <c r="E52" s="73"/>
      <c r="F52" s="73"/>
      <c r="G52" s="73"/>
      <c r="H52" s="76"/>
      <c r="I52" s="73">
        <v>2.2</v>
      </c>
      <c r="J52" s="217"/>
      <c r="K52" s="442"/>
      <c r="L52" s="427"/>
      <c r="M52" s="427"/>
    </row>
    <row r="53" spans="1:21" ht="35.25" customHeight="1">
      <c r="A53" s="431"/>
      <c r="B53" s="431"/>
      <c r="C53" s="79">
        <v>2020</v>
      </c>
      <c r="D53" s="73">
        <f t="shared" si="0"/>
        <v>2.2</v>
      </c>
      <c r="E53" s="73"/>
      <c r="F53" s="73"/>
      <c r="G53" s="73"/>
      <c r="H53" s="76"/>
      <c r="I53" s="73">
        <v>2.2</v>
      </c>
      <c r="J53" s="217"/>
      <c r="K53" s="442"/>
      <c r="L53" s="427"/>
      <c r="M53" s="427"/>
      <c r="U53" t="s">
        <v>39</v>
      </c>
    </row>
    <row r="54" spans="1:13" ht="35.25" customHeight="1">
      <c r="A54" s="431"/>
      <c r="B54" s="431"/>
      <c r="C54" s="79">
        <v>2021</v>
      </c>
      <c r="D54" s="73">
        <f>I54</f>
        <v>2.2</v>
      </c>
      <c r="E54" s="73"/>
      <c r="F54" s="73"/>
      <c r="G54" s="73"/>
      <c r="H54" s="76"/>
      <c r="I54" s="73">
        <v>2.2</v>
      </c>
      <c r="J54" s="218"/>
      <c r="K54" s="442"/>
      <c r="L54" s="427"/>
      <c r="M54" s="427"/>
    </row>
    <row r="55" spans="1:13" ht="35.25" customHeight="1">
      <c r="A55" s="432"/>
      <c r="B55" s="432"/>
      <c r="C55" s="216">
        <v>2022</v>
      </c>
      <c r="D55" s="73">
        <f>I55</f>
        <v>2.2</v>
      </c>
      <c r="E55" s="73"/>
      <c r="F55" s="73"/>
      <c r="G55" s="73"/>
      <c r="H55" s="76"/>
      <c r="I55" s="73">
        <v>2.2</v>
      </c>
      <c r="J55" s="218"/>
      <c r="K55" s="443"/>
      <c r="L55" s="428"/>
      <c r="M55" s="427"/>
    </row>
    <row r="56" spans="1:13" ht="35.25" customHeight="1">
      <c r="A56" s="430" t="s">
        <v>131</v>
      </c>
      <c r="B56" s="430" t="s">
        <v>132</v>
      </c>
      <c r="C56" s="79">
        <v>2017</v>
      </c>
      <c r="D56" s="73">
        <f>I56</f>
        <v>0</v>
      </c>
      <c r="E56" s="73"/>
      <c r="F56" s="73"/>
      <c r="G56" s="73"/>
      <c r="H56" s="76"/>
      <c r="I56" s="73">
        <v>0</v>
      </c>
      <c r="J56" s="217"/>
      <c r="K56" s="436" t="s">
        <v>71</v>
      </c>
      <c r="L56" s="426"/>
      <c r="M56" s="427"/>
    </row>
    <row r="57" spans="1:13" ht="35.25" customHeight="1">
      <c r="A57" s="431"/>
      <c r="B57" s="431"/>
      <c r="C57" s="46">
        <v>2018</v>
      </c>
      <c r="D57" s="73">
        <f t="shared" si="0"/>
        <v>0</v>
      </c>
      <c r="E57" s="73"/>
      <c r="F57" s="73"/>
      <c r="G57" s="73"/>
      <c r="H57" s="76"/>
      <c r="I57" s="73">
        <v>0</v>
      </c>
      <c r="J57" s="217"/>
      <c r="K57" s="442"/>
      <c r="L57" s="427"/>
      <c r="M57" s="427"/>
    </row>
    <row r="58" spans="1:13" ht="35.25" customHeight="1">
      <c r="A58" s="431"/>
      <c r="B58" s="431"/>
      <c r="C58" s="46">
        <v>2019</v>
      </c>
      <c r="D58" s="73">
        <f t="shared" si="0"/>
        <v>0</v>
      </c>
      <c r="E58" s="73"/>
      <c r="F58" s="73"/>
      <c r="G58" s="73"/>
      <c r="H58" s="76"/>
      <c r="I58" s="73">
        <v>0</v>
      </c>
      <c r="J58" s="217"/>
      <c r="K58" s="442"/>
      <c r="L58" s="427"/>
      <c r="M58" s="427"/>
    </row>
    <row r="59" spans="1:16" ht="35.25" customHeight="1">
      <c r="A59" s="431"/>
      <c r="B59" s="431"/>
      <c r="C59" s="79">
        <v>2020</v>
      </c>
      <c r="D59" s="73">
        <f t="shared" si="0"/>
        <v>0</v>
      </c>
      <c r="E59" s="73"/>
      <c r="F59" s="73"/>
      <c r="G59" s="73"/>
      <c r="H59" s="76"/>
      <c r="I59" s="73">
        <v>0</v>
      </c>
      <c r="J59" s="217"/>
      <c r="K59" s="442"/>
      <c r="L59" s="427"/>
      <c r="M59" s="427"/>
      <c r="P59" t="s">
        <v>39</v>
      </c>
    </row>
    <row r="60" spans="1:13" ht="35.25" customHeight="1">
      <c r="A60" s="431"/>
      <c r="B60" s="431"/>
      <c r="C60" s="79">
        <v>2021</v>
      </c>
      <c r="D60" s="73">
        <v>0</v>
      </c>
      <c r="E60" s="73"/>
      <c r="F60" s="73"/>
      <c r="G60" s="73"/>
      <c r="H60" s="76"/>
      <c r="I60" s="73">
        <v>0</v>
      </c>
      <c r="J60" s="218"/>
      <c r="K60" s="442"/>
      <c r="L60" s="427"/>
      <c r="M60" s="427"/>
    </row>
    <row r="61" spans="1:13" ht="35.25" customHeight="1">
      <c r="A61" s="432"/>
      <c r="B61" s="432"/>
      <c r="C61" s="216">
        <v>2022</v>
      </c>
      <c r="D61" s="73">
        <f>I601</f>
        <v>0</v>
      </c>
      <c r="E61" s="73"/>
      <c r="F61" s="73"/>
      <c r="G61" s="73"/>
      <c r="H61" s="76"/>
      <c r="I61" s="73">
        <v>0</v>
      </c>
      <c r="J61" s="218"/>
      <c r="K61" s="443"/>
      <c r="L61" s="428"/>
      <c r="M61" s="427"/>
    </row>
    <row r="62" spans="1:13" ht="35.25" customHeight="1">
      <c r="A62" s="430" t="s">
        <v>133</v>
      </c>
      <c r="B62" s="430" t="s">
        <v>134</v>
      </c>
      <c r="C62" s="79">
        <v>2017</v>
      </c>
      <c r="D62" s="73">
        <f>I62</f>
        <v>0</v>
      </c>
      <c r="E62" s="73"/>
      <c r="F62" s="73"/>
      <c r="G62" s="73"/>
      <c r="H62" s="76"/>
      <c r="I62" s="73">
        <v>0</v>
      </c>
      <c r="J62" s="217"/>
      <c r="K62" s="436" t="s">
        <v>71</v>
      </c>
      <c r="L62" s="426"/>
      <c r="M62" s="427"/>
    </row>
    <row r="63" spans="1:13" ht="35.25" customHeight="1">
      <c r="A63" s="431"/>
      <c r="B63" s="431"/>
      <c r="C63" s="46">
        <v>2018</v>
      </c>
      <c r="D63" s="73">
        <f t="shared" si="0"/>
        <v>0</v>
      </c>
      <c r="E63" s="73"/>
      <c r="F63" s="73"/>
      <c r="G63" s="73"/>
      <c r="H63" s="76"/>
      <c r="I63" s="73">
        <v>0</v>
      </c>
      <c r="J63" s="217"/>
      <c r="K63" s="442"/>
      <c r="L63" s="427"/>
      <c r="M63" s="427"/>
    </row>
    <row r="64" spans="1:15" ht="35.25" customHeight="1">
      <c r="A64" s="431"/>
      <c r="B64" s="431"/>
      <c r="C64" s="46">
        <v>2019</v>
      </c>
      <c r="D64" s="73">
        <f t="shared" si="0"/>
        <v>0</v>
      </c>
      <c r="E64" s="73"/>
      <c r="F64" s="73"/>
      <c r="G64" s="73"/>
      <c r="H64" s="76"/>
      <c r="I64" s="73">
        <v>0</v>
      </c>
      <c r="J64" s="217"/>
      <c r="K64" s="442"/>
      <c r="L64" s="427"/>
      <c r="M64" s="427"/>
      <c r="O64" t="s">
        <v>39</v>
      </c>
    </row>
    <row r="65" spans="1:13" ht="35.25" customHeight="1">
      <c r="A65" s="431"/>
      <c r="B65" s="431"/>
      <c r="C65" s="79">
        <v>2020</v>
      </c>
      <c r="D65" s="73">
        <f t="shared" si="0"/>
        <v>0</v>
      </c>
      <c r="E65" s="73"/>
      <c r="F65" s="73"/>
      <c r="G65" s="73"/>
      <c r="H65" s="76"/>
      <c r="I65" s="73">
        <v>0</v>
      </c>
      <c r="J65" s="217"/>
      <c r="K65" s="442"/>
      <c r="L65" s="427"/>
      <c r="M65" s="427"/>
    </row>
    <row r="66" spans="1:13" ht="35.25" customHeight="1">
      <c r="A66" s="431"/>
      <c r="B66" s="431"/>
      <c r="C66" s="79">
        <v>2021</v>
      </c>
      <c r="D66" s="73">
        <v>0</v>
      </c>
      <c r="E66" s="73"/>
      <c r="F66" s="73"/>
      <c r="G66" s="73"/>
      <c r="H66" s="76"/>
      <c r="I66" s="73">
        <v>0</v>
      </c>
      <c r="J66" s="218"/>
      <c r="K66" s="442"/>
      <c r="L66" s="427"/>
      <c r="M66" s="427"/>
    </row>
    <row r="67" spans="1:13" ht="35.25" customHeight="1">
      <c r="A67" s="432"/>
      <c r="B67" s="432"/>
      <c r="C67" s="216">
        <v>2022</v>
      </c>
      <c r="D67" s="73">
        <f>I652</f>
        <v>0</v>
      </c>
      <c r="E67" s="73"/>
      <c r="F67" s="73"/>
      <c r="G67" s="73"/>
      <c r="H67" s="76"/>
      <c r="I67" s="73">
        <v>0</v>
      </c>
      <c r="J67" s="218"/>
      <c r="K67" s="443"/>
      <c r="L67" s="428"/>
      <c r="M67" s="427"/>
    </row>
    <row r="68" spans="1:13" ht="35.25" customHeight="1">
      <c r="A68" s="430" t="s">
        <v>135</v>
      </c>
      <c r="B68" s="430" t="s">
        <v>136</v>
      </c>
      <c r="C68" s="79">
        <v>2017</v>
      </c>
      <c r="D68" s="73">
        <f>I68</f>
        <v>0</v>
      </c>
      <c r="E68" s="73"/>
      <c r="F68" s="73"/>
      <c r="G68" s="73"/>
      <c r="H68" s="76"/>
      <c r="I68" s="73">
        <v>0</v>
      </c>
      <c r="J68" s="217"/>
      <c r="K68" s="436" t="s">
        <v>71</v>
      </c>
      <c r="L68" s="426"/>
      <c r="M68" s="427"/>
    </row>
    <row r="69" spans="1:13" ht="35.25" customHeight="1">
      <c r="A69" s="431"/>
      <c r="B69" s="431"/>
      <c r="C69" s="46">
        <v>2018</v>
      </c>
      <c r="D69" s="73">
        <f t="shared" si="0"/>
        <v>0</v>
      </c>
      <c r="E69" s="73"/>
      <c r="F69" s="73"/>
      <c r="G69" s="73"/>
      <c r="H69" s="76"/>
      <c r="I69" s="73">
        <v>0</v>
      </c>
      <c r="J69" s="217"/>
      <c r="K69" s="442"/>
      <c r="L69" s="427"/>
      <c r="M69" s="427"/>
    </row>
    <row r="70" spans="1:15" ht="35.25" customHeight="1">
      <c r="A70" s="431"/>
      <c r="B70" s="431"/>
      <c r="C70" s="46">
        <v>2019</v>
      </c>
      <c r="D70" s="73">
        <f t="shared" si="0"/>
        <v>0</v>
      </c>
      <c r="E70" s="73"/>
      <c r="F70" s="73"/>
      <c r="G70" s="73"/>
      <c r="H70" s="76"/>
      <c r="I70" s="73">
        <v>0</v>
      </c>
      <c r="J70" s="217"/>
      <c r="K70" s="442"/>
      <c r="L70" s="427"/>
      <c r="M70" s="427"/>
      <c r="O70" t="s">
        <v>39</v>
      </c>
    </row>
    <row r="71" spans="1:13" ht="35.25" customHeight="1">
      <c r="A71" s="431"/>
      <c r="B71" s="431"/>
      <c r="C71" s="79">
        <v>2020</v>
      </c>
      <c r="D71" s="73">
        <f t="shared" si="0"/>
        <v>0</v>
      </c>
      <c r="E71" s="73"/>
      <c r="F71" s="73"/>
      <c r="G71" s="73"/>
      <c r="H71" s="76"/>
      <c r="I71" s="73">
        <v>0</v>
      </c>
      <c r="J71" s="217"/>
      <c r="K71" s="442"/>
      <c r="L71" s="427"/>
      <c r="M71" s="427"/>
    </row>
    <row r="72" spans="1:13" ht="35.25" customHeight="1">
      <c r="A72" s="431"/>
      <c r="B72" s="431"/>
      <c r="C72" s="79">
        <v>2021</v>
      </c>
      <c r="D72" s="73">
        <v>0</v>
      </c>
      <c r="E72" s="73"/>
      <c r="F72" s="73"/>
      <c r="G72" s="73"/>
      <c r="H72" s="76"/>
      <c r="I72" s="73">
        <v>0</v>
      </c>
      <c r="J72" s="218"/>
      <c r="K72" s="442"/>
      <c r="L72" s="427"/>
      <c r="M72" s="427"/>
    </row>
    <row r="73" spans="1:13" ht="35.25" customHeight="1">
      <c r="A73" s="432"/>
      <c r="B73" s="432"/>
      <c r="C73" s="216">
        <v>2022</v>
      </c>
      <c r="D73" s="73">
        <f>I73</f>
        <v>0</v>
      </c>
      <c r="E73" s="73"/>
      <c r="F73" s="73"/>
      <c r="G73" s="73"/>
      <c r="H73" s="76"/>
      <c r="I73" s="73">
        <v>0</v>
      </c>
      <c r="J73" s="218"/>
      <c r="K73" s="443"/>
      <c r="L73" s="428"/>
      <c r="M73" s="427"/>
    </row>
    <row r="74" spans="1:13" ht="35.25" customHeight="1">
      <c r="A74" s="430" t="s">
        <v>137</v>
      </c>
      <c r="B74" s="430" t="s">
        <v>138</v>
      </c>
      <c r="C74" s="79">
        <v>2017</v>
      </c>
      <c r="D74" s="73">
        <f>I74</f>
        <v>0</v>
      </c>
      <c r="E74" s="73"/>
      <c r="F74" s="73"/>
      <c r="G74" s="73"/>
      <c r="H74" s="76"/>
      <c r="I74" s="73">
        <v>0</v>
      </c>
      <c r="J74" s="217"/>
      <c r="K74" s="436" t="s">
        <v>71</v>
      </c>
      <c r="L74" s="426"/>
      <c r="M74" s="427"/>
    </row>
    <row r="75" spans="1:13" ht="35.25" customHeight="1">
      <c r="A75" s="431"/>
      <c r="B75" s="431"/>
      <c r="C75" s="46">
        <v>2018</v>
      </c>
      <c r="D75" s="73">
        <f t="shared" si="0"/>
        <v>0</v>
      </c>
      <c r="E75" s="73"/>
      <c r="F75" s="73"/>
      <c r="G75" s="73"/>
      <c r="H75" s="76"/>
      <c r="I75" s="73">
        <v>0</v>
      </c>
      <c r="J75" s="217"/>
      <c r="K75" s="442"/>
      <c r="L75" s="427"/>
      <c r="M75" s="427"/>
    </row>
    <row r="76" spans="1:14" ht="35.25" customHeight="1">
      <c r="A76" s="431"/>
      <c r="B76" s="431"/>
      <c r="C76" s="46">
        <v>2019</v>
      </c>
      <c r="D76" s="73">
        <f t="shared" si="0"/>
        <v>0</v>
      </c>
      <c r="E76" s="73"/>
      <c r="F76" s="73"/>
      <c r="G76" s="73"/>
      <c r="H76" s="76"/>
      <c r="I76" s="73">
        <v>0</v>
      </c>
      <c r="J76" s="217"/>
      <c r="K76" s="442"/>
      <c r="L76" s="427"/>
      <c r="M76" s="427"/>
      <c r="N76" t="s">
        <v>39</v>
      </c>
    </row>
    <row r="77" spans="1:13" ht="35.25" customHeight="1">
      <c r="A77" s="431"/>
      <c r="B77" s="431"/>
      <c r="C77" s="79">
        <v>2020</v>
      </c>
      <c r="D77" s="73">
        <f t="shared" si="0"/>
        <v>0</v>
      </c>
      <c r="E77" s="73"/>
      <c r="F77" s="73"/>
      <c r="G77" s="73"/>
      <c r="H77" s="76"/>
      <c r="I77" s="73">
        <v>0</v>
      </c>
      <c r="J77" s="217"/>
      <c r="K77" s="442"/>
      <c r="L77" s="427"/>
      <c r="M77" s="427"/>
    </row>
    <row r="78" spans="1:13" ht="35.25" customHeight="1">
      <c r="A78" s="431"/>
      <c r="B78" s="431"/>
      <c r="C78" s="79">
        <v>2021</v>
      </c>
      <c r="D78" s="73">
        <v>0</v>
      </c>
      <c r="E78" s="73"/>
      <c r="F78" s="73"/>
      <c r="G78" s="73"/>
      <c r="H78" s="76"/>
      <c r="I78" s="73">
        <v>0</v>
      </c>
      <c r="J78" s="218"/>
      <c r="K78" s="442"/>
      <c r="L78" s="427"/>
      <c r="M78" s="427"/>
    </row>
    <row r="79" spans="1:13" ht="35.25" customHeight="1">
      <c r="A79" s="432"/>
      <c r="B79" s="432"/>
      <c r="C79" s="216">
        <v>2022</v>
      </c>
      <c r="D79" s="73">
        <f>I79</f>
        <v>0</v>
      </c>
      <c r="E79" s="73"/>
      <c r="F79" s="73"/>
      <c r="G79" s="73"/>
      <c r="H79" s="76"/>
      <c r="I79" s="73">
        <v>0</v>
      </c>
      <c r="J79" s="218"/>
      <c r="K79" s="443"/>
      <c r="L79" s="428"/>
      <c r="M79" s="427"/>
    </row>
    <row r="80" spans="1:13" ht="35.25" customHeight="1">
      <c r="A80" s="430" t="s">
        <v>139</v>
      </c>
      <c r="B80" s="430" t="s">
        <v>140</v>
      </c>
      <c r="C80" s="79">
        <v>2017</v>
      </c>
      <c r="D80" s="73">
        <f>I80</f>
        <v>0</v>
      </c>
      <c r="E80" s="73"/>
      <c r="F80" s="73"/>
      <c r="G80" s="73"/>
      <c r="H80" s="76"/>
      <c r="I80" s="73">
        <v>0</v>
      </c>
      <c r="J80" s="217"/>
      <c r="K80" s="436" t="s">
        <v>71</v>
      </c>
      <c r="L80" s="426"/>
      <c r="M80" s="427"/>
    </row>
    <row r="81" spans="1:13" ht="35.25" customHeight="1">
      <c r="A81" s="431"/>
      <c r="B81" s="431"/>
      <c r="C81" s="46">
        <v>2018</v>
      </c>
      <c r="D81" s="73">
        <f t="shared" si="0"/>
        <v>0</v>
      </c>
      <c r="E81" s="73"/>
      <c r="F81" s="73"/>
      <c r="G81" s="73"/>
      <c r="H81" s="76"/>
      <c r="I81" s="73">
        <v>0</v>
      </c>
      <c r="J81" s="217"/>
      <c r="K81" s="442"/>
      <c r="L81" s="427"/>
      <c r="M81" s="427"/>
    </row>
    <row r="82" spans="1:16" ht="35.25" customHeight="1">
      <c r="A82" s="431"/>
      <c r="B82" s="431"/>
      <c r="C82" s="46">
        <v>2019</v>
      </c>
      <c r="D82" s="73">
        <f t="shared" si="0"/>
        <v>0</v>
      </c>
      <c r="E82" s="73"/>
      <c r="F82" s="73"/>
      <c r="G82" s="73"/>
      <c r="H82" s="76"/>
      <c r="I82" s="73">
        <v>0</v>
      </c>
      <c r="J82" s="217"/>
      <c r="K82" s="442"/>
      <c r="L82" s="427"/>
      <c r="M82" s="427"/>
      <c r="P82" t="s">
        <v>39</v>
      </c>
    </row>
    <row r="83" spans="1:13" ht="35.25" customHeight="1">
      <c r="A83" s="431"/>
      <c r="B83" s="431"/>
      <c r="C83" s="79">
        <v>2020</v>
      </c>
      <c r="D83" s="73">
        <f t="shared" si="0"/>
        <v>0</v>
      </c>
      <c r="E83" s="73"/>
      <c r="F83" s="73"/>
      <c r="G83" s="73"/>
      <c r="H83" s="76"/>
      <c r="I83" s="73">
        <v>0</v>
      </c>
      <c r="J83" s="217"/>
      <c r="K83" s="442"/>
      <c r="L83" s="427"/>
      <c r="M83" s="428"/>
    </row>
    <row r="84" spans="1:13" ht="35.25" customHeight="1">
      <c r="A84" s="431"/>
      <c r="B84" s="431"/>
      <c r="C84" s="79">
        <v>2021</v>
      </c>
      <c r="D84" s="73">
        <v>0</v>
      </c>
      <c r="E84" s="73"/>
      <c r="F84" s="73"/>
      <c r="G84" s="73"/>
      <c r="H84" s="76"/>
      <c r="I84" s="73">
        <v>0</v>
      </c>
      <c r="J84" s="217"/>
      <c r="K84" s="442"/>
      <c r="L84" s="427"/>
      <c r="M84" s="80"/>
    </row>
    <row r="85" spans="1:13" ht="35.25" customHeight="1">
      <c r="A85" s="432"/>
      <c r="B85" s="432"/>
      <c r="C85" s="216">
        <v>2022</v>
      </c>
      <c r="D85" s="73">
        <f>I85</f>
        <v>0</v>
      </c>
      <c r="E85" s="73"/>
      <c r="F85" s="73"/>
      <c r="G85" s="73"/>
      <c r="H85" s="76"/>
      <c r="I85" s="73">
        <v>0</v>
      </c>
      <c r="J85" s="217"/>
      <c r="K85" s="442"/>
      <c r="L85" s="427"/>
      <c r="M85" s="214"/>
    </row>
    <row r="86" spans="1:13" ht="16.5" customHeight="1">
      <c r="A86" s="430"/>
      <c r="B86" s="433" t="s">
        <v>75</v>
      </c>
      <c r="C86" s="79">
        <v>2017</v>
      </c>
      <c r="D86" s="73">
        <f>I86</f>
        <v>13.1</v>
      </c>
      <c r="E86" s="73">
        <v>0</v>
      </c>
      <c r="F86" s="73"/>
      <c r="G86" s="73"/>
      <c r="H86" s="78">
        <v>0</v>
      </c>
      <c r="I86" s="73">
        <f>I18+I25+I38+I44+I50+I56+I62+I68+I74+I80</f>
        <v>13.1</v>
      </c>
      <c r="J86" s="45"/>
      <c r="K86" s="443"/>
      <c r="L86" s="428"/>
      <c r="M86" s="80"/>
    </row>
    <row r="87" spans="1:13" ht="15">
      <c r="A87" s="431"/>
      <c r="B87" s="434"/>
      <c r="C87" s="46">
        <v>2018</v>
      </c>
      <c r="D87" s="73">
        <f t="shared" si="0"/>
        <v>7.25</v>
      </c>
      <c r="E87" s="73">
        <f>SUM(E19+E26)</f>
        <v>0</v>
      </c>
      <c r="F87" s="73"/>
      <c r="G87" s="73"/>
      <c r="H87" s="73">
        <f>SUM(H19+H26)</f>
        <v>0</v>
      </c>
      <c r="I87" s="73">
        <f>SUM(I19+I26+I39+I45+I51+I57+I63+I69+I75+I81)</f>
        <v>7.25</v>
      </c>
      <c r="J87" s="46"/>
      <c r="K87" s="436"/>
      <c r="L87" s="437"/>
      <c r="M87" s="422"/>
    </row>
    <row r="88" spans="1:13" ht="15">
      <c r="A88" s="431"/>
      <c r="B88" s="434"/>
      <c r="C88" s="46">
        <v>2019</v>
      </c>
      <c r="D88" s="73">
        <f t="shared" si="0"/>
        <v>13.100000000000001</v>
      </c>
      <c r="E88" s="81">
        <f>SUM(E20+E27)</f>
        <v>0</v>
      </c>
      <c r="F88" s="81"/>
      <c r="G88" s="81"/>
      <c r="H88" s="81">
        <f>SUM(H20+H27)</f>
        <v>0</v>
      </c>
      <c r="I88" s="81">
        <f>SUM(I20+I27+I40+I46+I52+I58+I64+I70+I76+I82)</f>
        <v>13.100000000000001</v>
      </c>
      <c r="J88" s="46"/>
      <c r="K88" s="438"/>
      <c r="L88" s="439"/>
      <c r="M88" s="422"/>
    </row>
    <row r="89" spans="1:13" ht="15">
      <c r="A89" s="431"/>
      <c r="B89" s="434"/>
      <c r="C89" s="79">
        <v>2020</v>
      </c>
      <c r="D89" s="73">
        <f t="shared" si="0"/>
        <v>13.100000000000001</v>
      </c>
      <c r="E89" s="73">
        <f>SUM(E21+E28)</f>
        <v>0</v>
      </c>
      <c r="F89" s="73"/>
      <c r="G89" s="73"/>
      <c r="H89" s="73">
        <f>SUM(H21+H28)</f>
        <v>0</v>
      </c>
      <c r="I89" s="73">
        <f>SUM(I21+I28+I41+I47+I53+I59+I65+I71+I77+I83)</f>
        <v>13.100000000000001</v>
      </c>
      <c r="J89" s="46"/>
      <c r="K89" s="438"/>
      <c r="L89" s="439"/>
      <c r="M89" s="422"/>
    </row>
    <row r="90" spans="1:13" ht="15">
      <c r="A90" s="431"/>
      <c r="B90" s="434"/>
      <c r="C90" s="79">
        <v>2021</v>
      </c>
      <c r="D90" s="73">
        <f>I90</f>
        <v>13.100000000000001</v>
      </c>
      <c r="E90" s="220">
        <v>0</v>
      </c>
      <c r="F90" s="73"/>
      <c r="G90" s="73"/>
      <c r="H90" s="73">
        <v>0</v>
      </c>
      <c r="I90" s="73">
        <f>I22+I37+I30</f>
        <v>13.100000000000001</v>
      </c>
      <c r="J90" s="46"/>
      <c r="K90" s="438"/>
      <c r="L90" s="439"/>
      <c r="M90" s="422"/>
    </row>
    <row r="91" spans="1:13" ht="15">
      <c r="A91" s="431"/>
      <c r="B91" s="434"/>
      <c r="C91" s="216">
        <v>2022</v>
      </c>
      <c r="D91" s="73">
        <f>I91</f>
        <v>13.1</v>
      </c>
      <c r="E91" s="73">
        <v>0</v>
      </c>
      <c r="F91" s="73"/>
      <c r="G91" s="73"/>
      <c r="H91" s="73">
        <v>0</v>
      </c>
      <c r="I91" s="73">
        <f>I85+I79+I73+I67+I61+I55+I49+I43+I30+I23</f>
        <v>13.1</v>
      </c>
      <c r="J91" s="215"/>
      <c r="K91" s="438"/>
      <c r="L91" s="439"/>
      <c r="M91" s="422"/>
    </row>
    <row r="92" spans="1:13" ht="15">
      <c r="A92" s="432"/>
      <c r="B92" s="435"/>
      <c r="C92" s="215" t="s">
        <v>293</v>
      </c>
      <c r="D92" s="82">
        <f>SUM(D86:D91)</f>
        <v>72.75</v>
      </c>
      <c r="E92" s="82">
        <f>SUM(E87:E89)</f>
        <v>0</v>
      </c>
      <c r="F92" s="82"/>
      <c r="G92" s="82"/>
      <c r="H92" s="82">
        <f>SUM(H87:H89)</f>
        <v>0</v>
      </c>
      <c r="I92" s="82">
        <f>I91+I90+I89+I88+I87+I86</f>
        <v>72.75</v>
      </c>
      <c r="J92" s="46"/>
      <c r="K92" s="440"/>
      <c r="L92" s="441"/>
      <c r="M92" s="422"/>
    </row>
  </sheetData>
  <sheetProtection/>
  <mergeCells count="64">
    <mergeCell ref="A18:A23"/>
    <mergeCell ref="B18:B23"/>
    <mergeCell ref="A25:A30"/>
    <mergeCell ref="B25:B30"/>
    <mergeCell ref="A32:A37"/>
    <mergeCell ref="B32:B37"/>
    <mergeCell ref="K4:M4"/>
    <mergeCell ref="K3:M3"/>
    <mergeCell ref="K18:L23"/>
    <mergeCell ref="M18:M23"/>
    <mergeCell ref="K25:L30"/>
    <mergeCell ref="K32:L37"/>
    <mergeCell ref="K15:L15"/>
    <mergeCell ref="M25:M30"/>
    <mergeCell ref="A17:M17"/>
    <mergeCell ref="D9:D14"/>
    <mergeCell ref="K44:L49"/>
    <mergeCell ref="A80:A85"/>
    <mergeCell ref="K68:L73"/>
    <mergeCell ref="K62:L67"/>
    <mergeCell ref="K56:L61"/>
    <mergeCell ref="K50:L55"/>
    <mergeCell ref="A50:A55"/>
    <mergeCell ref="B50:B55"/>
    <mergeCell ref="A56:A61"/>
    <mergeCell ref="B56:B61"/>
    <mergeCell ref="B62:B67"/>
    <mergeCell ref="K80:L86"/>
    <mergeCell ref="K74:L79"/>
    <mergeCell ref="B80:B85"/>
    <mergeCell ref="A74:A79"/>
    <mergeCell ref="B74:B79"/>
    <mergeCell ref="A68:A73"/>
    <mergeCell ref="B68:B73"/>
    <mergeCell ref="A16:M16"/>
    <mergeCell ref="A86:A92"/>
    <mergeCell ref="B86:B92"/>
    <mergeCell ref="A44:A49"/>
    <mergeCell ref="B44:B49"/>
    <mergeCell ref="K87:L92"/>
    <mergeCell ref="K38:L42"/>
    <mergeCell ref="A38:A43"/>
    <mergeCell ref="B38:B43"/>
    <mergeCell ref="A62:A67"/>
    <mergeCell ref="F12:H12"/>
    <mergeCell ref="B9:B14"/>
    <mergeCell ref="F13:F14"/>
    <mergeCell ref="E9:I10"/>
    <mergeCell ref="J9:J14"/>
    <mergeCell ref="M87:M92"/>
    <mergeCell ref="A24:M24"/>
    <mergeCell ref="A31:M31"/>
    <mergeCell ref="M32:M83"/>
    <mergeCell ref="I12:I14"/>
    <mergeCell ref="K9:L14"/>
    <mergeCell ref="A9:A14"/>
    <mergeCell ref="M9:M14"/>
    <mergeCell ref="E11:E14"/>
    <mergeCell ref="G13:H13"/>
    <mergeCell ref="B2:M2"/>
    <mergeCell ref="L5:M5"/>
    <mergeCell ref="A8:M8"/>
    <mergeCell ref="F11:I11"/>
    <mergeCell ref="C9:C1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2019-10-17T05:04:49Z</cp:lastPrinted>
  <dcterms:created xsi:type="dcterms:W3CDTF">2014-10-21T12:29:03Z</dcterms:created>
  <dcterms:modified xsi:type="dcterms:W3CDTF">2019-10-17T05:04:58Z</dcterms:modified>
  <cp:category/>
  <cp:version/>
  <cp:contentType/>
  <cp:contentStatus/>
</cp:coreProperties>
</file>