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15" windowWidth="2040" windowHeight="1155"/>
  </bookViews>
  <sheets>
    <sheet name="Лист1 (2)" sheetId="4" r:id="rId1"/>
  </sheets>
  <definedNames>
    <definedName name="_xlnm.Print_Titles" localSheetId="0">'Лист1 (2)'!$6:$7</definedName>
    <definedName name="_xlnm.Print_Area" localSheetId="0">'Лист1 (2)'!$A$1:$O$122</definedName>
  </definedNames>
  <calcPr calcId="124519"/>
</workbook>
</file>

<file path=xl/calcChain.xml><?xml version="1.0" encoding="utf-8"?>
<calcChain xmlns="http://schemas.openxmlformats.org/spreadsheetml/2006/main">
  <c r="N62" i="4"/>
  <c r="E62" s="1"/>
  <c r="Q62" s="1"/>
  <c r="N68"/>
  <c r="E68" s="1"/>
  <c r="Q68" s="1"/>
  <c r="N69"/>
  <c r="M56"/>
  <c r="M58"/>
  <c r="N35"/>
  <c r="E35" s="1"/>
  <c r="Q35" s="1"/>
  <c r="M97"/>
  <c r="E97" s="1"/>
  <c r="Q97" s="1"/>
  <c r="M16"/>
  <c r="N13"/>
  <c r="E13" s="1"/>
  <c r="Q13" s="1"/>
  <c r="N66"/>
  <c r="N50"/>
  <c r="M50"/>
  <c r="N49"/>
  <c r="E49" s="1"/>
  <c r="Q49" s="1"/>
  <c r="N42"/>
  <c r="N47"/>
  <c r="E47" s="1"/>
  <c r="Q47" s="1"/>
  <c r="N101"/>
  <c r="L97"/>
  <c r="L90" s="1"/>
  <c r="N96"/>
  <c r="M87"/>
  <c r="M84" s="1"/>
  <c r="M74" s="1"/>
  <c r="M85"/>
  <c r="M83" s="1"/>
  <c r="N71"/>
  <c r="L69"/>
  <c r="L56"/>
  <c r="E66"/>
  <c r="Q66" s="1"/>
  <c r="M66"/>
  <c r="L62"/>
  <c r="N61"/>
  <c r="M59"/>
  <c r="L59"/>
  <c r="L55"/>
  <c r="L50"/>
  <c r="L44"/>
  <c r="M34"/>
  <c r="L34"/>
  <c r="N31"/>
  <c r="N28"/>
  <c r="M18"/>
  <c r="E18" s="1"/>
  <c r="Q18" s="1"/>
  <c r="M24"/>
  <c r="E24" s="1"/>
  <c r="Q24" s="1"/>
  <c r="Q14"/>
  <c r="Q15"/>
  <c r="Q17"/>
  <c r="Q19"/>
  <c r="Q20"/>
  <c r="Q21"/>
  <c r="Q22"/>
  <c r="Q23"/>
  <c r="Q25"/>
  <c r="Q26"/>
  <c r="Q27"/>
  <c r="Q30"/>
  <c r="Q32"/>
  <c r="Q33"/>
  <c r="Q36"/>
  <c r="Q37"/>
  <c r="Q38"/>
  <c r="Q41"/>
  <c r="Q43"/>
  <c r="Q44"/>
  <c r="Q45"/>
  <c r="Q46"/>
  <c r="Q48"/>
  <c r="Q51"/>
  <c r="Q52"/>
  <c r="Q53"/>
  <c r="Q60"/>
  <c r="Q64"/>
  <c r="Q65"/>
  <c r="Q67"/>
  <c r="Q70"/>
  <c r="Q75"/>
  <c r="Q76"/>
  <c r="Q77"/>
  <c r="Q78"/>
  <c r="Q79"/>
  <c r="Q80"/>
  <c r="Q81"/>
  <c r="Q86"/>
  <c r="Q88"/>
  <c r="Q91"/>
  <c r="Q92"/>
  <c r="Q93"/>
  <c r="Q94"/>
  <c r="Q95"/>
  <c r="Q99"/>
  <c r="Q100"/>
  <c r="Q102"/>
  <c r="Q103"/>
  <c r="Q104"/>
  <c r="Q105"/>
  <c r="Q115"/>
  <c r="Q12"/>
  <c r="L9"/>
  <c r="K9"/>
  <c r="E64"/>
  <c r="K36"/>
  <c r="E26"/>
  <c r="N16"/>
  <c r="K16"/>
  <c r="J36"/>
  <c r="E36" s="1"/>
  <c r="J22"/>
  <c r="G9"/>
  <c r="H10"/>
  <c r="I10"/>
  <c r="G10"/>
  <c r="H90"/>
  <c r="I90"/>
  <c r="J90"/>
  <c r="K90"/>
  <c r="G90"/>
  <c r="N91"/>
  <c r="M91"/>
  <c r="L91"/>
  <c r="K91"/>
  <c r="J91"/>
  <c r="I91"/>
  <c r="H91"/>
  <c r="G91"/>
  <c r="F91"/>
  <c r="E93"/>
  <c r="E95"/>
  <c r="E98"/>
  <c r="Q98" s="1"/>
  <c r="E100"/>
  <c r="E101"/>
  <c r="Q101" s="1"/>
  <c r="E102"/>
  <c r="E103"/>
  <c r="E104"/>
  <c r="E105"/>
  <c r="E92"/>
  <c r="N76"/>
  <c r="N75" s="1"/>
  <c r="N74"/>
  <c r="E14"/>
  <c r="E17"/>
  <c r="E19"/>
  <c r="E20"/>
  <c r="E21"/>
  <c r="E23"/>
  <c r="E25"/>
  <c r="E27"/>
  <c r="E29"/>
  <c r="Q29" s="1"/>
  <c r="E30"/>
  <c r="E32"/>
  <c r="E33"/>
  <c r="E38"/>
  <c r="E39"/>
  <c r="Q39" s="1"/>
  <c r="E37"/>
  <c r="E40"/>
  <c r="Q40" s="1"/>
  <c r="E41"/>
  <c r="E42"/>
  <c r="Q42" s="1"/>
  <c r="E43"/>
  <c r="E44"/>
  <c r="E48"/>
  <c r="E52"/>
  <c r="E53"/>
  <c r="E54"/>
  <c r="Q54" s="1"/>
  <c r="E55"/>
  <c r="Q55" s="1"/>
  <c r="E57"/>
  <c r="Q57" s="1"/>
  <c r="E58"/>
  <c r="Q58" s="1"/>
  <c r="E71"/>
  <c r="Q71" s="1"/>
  <c r="E61"/>
  <c r="Q61" s="1"/>
  <c r="E63"/>
  <c r="Q63" s="1"/>
  <c r="E67"/>
  <c r="E65"/>
  <c r="E12"/>
  <c r="F40"/>
  <c r="G84"/>
  <c r="H9"/>
  <c r="I9"/>
  <c r="J9"/>
  <c r="F48"/>
  <c r="F27"/>
  <c r="F17"/>
  <c r="F16"/>
  <c r="F115"/>
  <c r="F114"/>
  <c r="F105"/>
  <c r="F104"/>
  <c r="F103"/>
  <c r="F101"/>
  <c r="F100"/>
  <c r="F98"/>
  <c r="F97"/>
  <c r="F95"/>
  <c r="F93"/>
  <c r="F92"/>
  <c r="F88"/>
  <c r="E88"/>
  <c r="F87"/>
  <c r="F86"/>
  <c r="E86"/>
  <c r="F85"/>
  <c r="E85"/>
  <c r="Q85" s="1"/>
  <c r="L84"/>
  <c r="K84"/>
  <c r="J84"/>
  <c r="I84"/>
  <c r="H84"/>
  <c r="L83"/>
  <c r="K83"/>
  <c r="J83"/>
  <c r="I83"/>
  <c r="H83"/>
  <c r="G83"/>
  <c r="F81"/>
  <c r="E81"/>
  <c r="F80"/>
  <c r="E80"/>
  <c r="F79"/>
  <c r="E79"/>
  <c r="F78"/>
  <c r="L77"/>
  <c r="K77"/>
  <c r="J77"/>
  <c r="I77"/>
  <c r="I74" s="1"/>
  <c r="H77"/>
  <c r="H74" s="1"/>
  <c r="G77"/>
  <c r="M76"/>
  <c r="L76"/>
  <c r="K76"/>
  <c r="J76"/>
  <c r="I76"/>
  <c r="H76"/>
  <c r="G76"/>
  <c r="F66"/>
  <c r="F65"/>
  <c r="F69"/>
  <c r="F67"/>
  <c r="F63"/>
  <c r="F62"/>
  <c r="F61"/>
  <c r="F59"/>
  <c r="F58"/>
  <c r="F57"/>
  <c r="F56"/>
  <c r="F55"/>
  <c r="F54"/>
  <c r="F53"/>
  <c r="F52"/>
  <c r="F50"/>
  <c r="F49"/>
  <c r="F47"/>
  <c r="F44"/>
  <c r="F43"/>
  <c r="F42"/>
  <c r="F41"/>
  <c r="F38"/>
  <c r="F36"/>
  <c r="F35"/>
  <c r="F34"/>
  <c r="F32"/>
  <c r="F31"/>
  <c r="F29"/>
  <c r="F28"/>
  <c r="F26"/>
  <c r="F24"/>
  <c r="F23"/>
  <c r="F22"/>
  <c r="F21"/>
  <c r="F20"/>
  <c r="F18"/>
  <c r="F14"/>
  <c r="F13"/>
  <c r="F12"/>
  <c r="M90" l="1"/>
  <c r="E50"/>
  <c r="Q50" s="1"/>
  <c r="N9"/>
  <c r="N108" s="1"/>
  <c r="N110" s="1"/>
  <c r="N90"/>
  <c r="E96"/>
  <c r="Q96" s="1"/>
  <c r="E87"/>
  <c r="Q87" s="1"/>
  <c r="E69"/>
  <c r="Q69" s="1"/>
  <c r="E56"/>
  <c r="Q56" s="1"/>
  <c r="E59"/>
  <c r="Q59" s="1"/>
  <c r="N10"/>
  <c r="N8" s="1"/>
  <c r="E34"/>
  <c r="Q34" s="1"/>
  <c r="L10"/>
  <c r="L8" s="1"/>
  <c r="E28"/>
  <c r="Q28" s="1"/>
  <c r="M9"/>
  <c r="E9" s="1"/>
  <c r="M10"/>
  <c r="I82"/>
  <c r="K10"/>
  <c r="K8" s="1"/>
  <c r="J82"/>
  <c r="J73" s="1"/>
  <c r="F10"/>
  <c r="L89"/>
  <c r="M82"/>
  <c r="M73" s="1"/>
  <c r="K74"/>
  <c r="K108" s="1"/>
  <c r="K110" s="1"/>
  <c r="E16"/>
  <c r="Q16" s="1"/>
  <c r="J10"/>
  <c r="J8" s="1"/>
  <c r="E22"/>
  <c r="E91"/>
  <c r="K75"/>
  <c r="J75"/>
  <c r="L75"/>
  <c r="I73"/>
  <c r="I72" s="1"/>
  <c r="J74"/>
  <c r="J108" s="1"/>
  <c r="J110" s="1"/>
  <c r="G73"/>
  <c r="G107" s="1"/>
  <c r="G111" s="1"/>
  <c r="G113" s="1"/>
  <c r="F113" s="1"/>
  <c r="H89"/>
  <c r="J89"/>
  <c r="I89"/>
  <c r="F90"/>
  <c r="F84"/>
  <c r="E31"/>
  <c r="Q31" s="1"/>
  <c r="E90"/>
  <c r="Q90" s="1"/>
  <c r="N89"/>
  <c r="N73"/>
  <c r="K89"/>
  <c r="F76"/>
  <c r="F9"/>
  <c r="H8"/>
  <c r="G75"/>
  <c r="E76"/>
  <c r="F77"/>
  <c r="L74"/>
  <c r="L108" s="1"/>
  <c r="L110" s="1"/>
  <c r="I8"/>
  <c r="G8"/>
  <c r="L82"/>
  <c r="L73" s="1"/>
  <c r="L72" s="1"/>
  <c r="K82"/>
  <c r="I75"/>
  <c r="M75"/>
  <c r="F83"/>
  <c r="M89"/>
  <c r="E84"/>
  <c r="Q84" s="1"/>
  <c r="E77"/>
  <c r="H108"/>
  <c r="H110" s="1"/>
  <c r="I108"/>
  <c r="I110" s="1"/>
  <c r="G82"/>
  <c r="E83"/>
  <c r="Q83" s="1"/>
  <c r="G74"/>
  <c r="H75"/>
  <c r="H82"/>
  <c r="G89"/>
  <c r="M108" l="1"/>
  <c r="M110" s="1"/>
  <c r="M8"/>
  <c r="M107"/>
  <c r="M111" s="1"/>
  <c r="M112" s="1"/>
  <c r="J72"/>
  <c r="F8"/>
  <c r="E10"/>
  <c r="E8" s="1"/>
  <c r="M72"/>
  <c r="E75"/>
  <c r="F89"/>
  <c r="I107"/>
  <c r="I111" s="1"/>
  <c r="I112" s="1"/>
  <c r="F82"/>
  <c r="J107"/>
  <c r="J106" s="1"/>
  <c r="N72"/>
  <c r="N107"/>
  <c r="E82"/>
  <c r="Q82" s="1"/>
  <c r="E89"/>
  <c r="Q89" s="1"/>
  <c r="K73"/>
  <c r="H73"/>
  <c r="H72" s="1"/>
  <c r="E74"/>
  <c r="Q74" s="1"/>
  <c r="G108"/>
  <c r="F74"/>
  <c r="H107"/>
  <c r="F75"/>
  <c r="G72"/>
  <c r="L107"/>
  <c r="E108" l="1"/>
  <c r="Q108" s="1"/>
  <c r="M106"/>
  <c r="M109" s="1"/>
  <c r="F73"/>
  <c r="E73"/>
  <c r="Q73" s="1"/>
  <c r="I106"/>
  <c r="I109" s="1"/>
  <c r="J111"/>
  <c r="J112" s="1"/>
  <c r="K107"/>
  <c r="K111" s="1"/>
  <c r="K112" s="1"/>
  <c r="N111"/>
  <c r="N106"/>
  <c r="N109" s="1"/>
  <c r="J109"/>
  <c r="K72"/>
  <c r="E72" s="1"/>
  <c r="Q72" s="1"/>
  <c r="F72"/>
  <c r="L106"/>
  <c r="L109" s="1"/>
  <c r="L111"/>
  <c r="L112" s="1"/>
  <c r="H106"/>
  <c r="H109" s="1"/>
  <c r="H111"/>
  <c r="F107"/>
  <c r="F108"/>
  <c r="F110" s="1"/>
  <c r="G110"/>
  <c r="G106"/>
  <c r="G109" s="1"/>
  <c r="E110" l="1"/>
  <c r="Q110" s="1"/>
  <c r="N112"/>
  <c r="K106"/>
  <c r="K109" s="1"/>
  <c r="E107"/>
  <c r="Q107" s="1"/>
  <c r="H112"/>
  <c r="F112" s="1"/>
  <c r="F106"/>
  <c r="F109" s="1"/>
  <c r="F111"/>
  <c r="E112" l="1"/>
  <c r="Q112" s="1"/>
  <c r="E114"/>
  <c r="Q114" s="1"/>
  <c r="E106"/>
  <c r="E111"/>
  <c r="Q111" s="1"/>
  <c r="E109" l="1"/>
  <c r="Q109" s="1"/>
  <c r="Q106"/>
  <c r="E113"/>
  <c r="Q113" s="1"/>
</calcChain>
</file>

<file path=xl/sharedStrings.xml><?xml version="1.0" encoding="utf-8"?>
<sst xmlns="http://schemas.openxmlformats.org/spreadsheetml/2006/main" count="397" uniqueCount="267">
  <si>
    <t>1.1.</t>
  </si>
  <si>
    <t>1.2.</t>
  </si>
  <si>
    <t xml:space="preserve">Наименование мероприятия </t>
  </si>
  <si>
    <t>1. Развитие социальной и инженерной инфраструктуры города</t>
  </si>
  <si>
    <t>3.2.</t>
  </si>
  <si>
    <t>3.3.</t>
  </si>
  <si>
    <t>3.4.</t>
  </si>
  <si>
    <t>№ п/п</t>
  </si>
  <si>
    <t>Капитальный ремонт кабельных линий, трансформаторных подстанций</t>
  </si>
  <si>
    <t>Общая стоимость мероп-риятий, млн. руб.</t>
  </si>
  <si>
    <t>Увеличение надежности электроснабжения города, снижение эксплуатационных затрат</t>
  </si>
  <si>
    <t>Замена оборудования, имеющего сверхнорматив-ный срок службы. Обеспечение надежности энергоснабжения города в течение 30 лет</t>
  </si>
  <si>
    <t>Улучшение качества воды для хозяйственно-питьевых нужд</t>
  </si>
  <si>
    <t>Повышение качества предоставляемых услуг и надежности сетей канализации</t>
  </si>
  <si>
    <t>Уменьшение и локализация негативного воздействия отходов на окружающую среду</t>
  </si>
  <si>
    <t>Реконструкция и модернизация существующих КНС-38, КНС-50, КНС-167</t>
  </si>
  <si>
    <t>Обеспечит сброс ливневых стоков в соответствии с требованиями правил охраны поверхностных вод от  загрязнения, создание 10 рабочих мест</t>
  </si>
  <si>
    <t>Энергоснабжение</t>
  </si>
  <si>
    <t>Водоснабжение</t>
  </si>
  <si>
    <t>Водоотведение</t>
  </si>
  <si>
    <t>Теплоснабжение</t>
  </si>
  <si>
    <t>Капитальный ремонт магистральных тепловых сетей</t>
  </si>
  <si>
    <t>Газоснабжение</t>
  </si>
  <si>
    <t>Капитальный ремонт распределительных сетей газопровода в жилой зоне</t>
  </si>
  <si>
    <t>Увеличение надежности газоснабжения жилой зоны и промышленных объектов</t>
  </si>
  <si>
    <t>Автодороги и благоустройство территории</t>
  </si>
  <si>
    <t>2016г.</t>
  </si>
  <si>
    <t>Всего, в том числе:</t>
  </si>
  <si>
    <t>Замена в связи с длительным сроком эксплуатации, улучшение бытовых условий жителей</t>
  </si>
  <si>
    <t>Повышение безопасности проживания. Установка 50 камер с оборудованием в местах массового скопления людей</t>
  </si>
  <si>
    <t>Проведение капитального ремонта системы инженерно-технического обеспечения лифтового хозяйства</t>
  </si>
  <si>
    <t>Обеспечение сохранности конструктивных элементов зданий в надлежащем техническом состоянии</t>
  </si>
  <si>
    <t>Снижение эксплуатационных затрат. Обеспечение бесперебойной и безопасной работы.</t>
  </si>
  <si>
    <t>Повышение качества оказания услуг дошкольного образования</t>
  </si>
  <si>
    <t>Повышение качества оказания услуг дошкольного и общего образования</t>
  </si>
  <si>
    <t xml:space="preserve">Учреждения культуры </t>
  </si>
  <si>
    <t>Поддержание здания с агрессивной средой в технически-исправном состоянии</t>
  </si>
  <si>
    <t>Удовлетворение потребностей детей и молодежи</t>
  </si>
  <si>
    <t>3.5.</t>
  </si>
  <si>
    <t>Обеспечение качественного обслуживания пассажиров на пригородных и городских перевозках</t>
  </si>
  <si>
    <t>Строительство автостоянки для большегрузных автомобилей на 100 единиц</t>
  </si>
  <si>
    <t>Всего по Программе,                                     млн. руб.</t>
  </si>
  <si>
    <t>2.1.2.</t>
  </si>
  <si>
    <t>3. Капитальное строительство и реконструкция  социально-значимых объектов</t>
  </si>
  <si>
    <t>внебюджетные средства</t>
  </si>
  <si>
    <t>Срок выпол-нения</t>
  </si>
  <si>
    <t>Ввод 4,6 тыс. кв. м жилья. Улучшение жилищный условий для 72 человек</t>
  </si>
  <si>
    <t>Реконструкция ВЛ - 110 кВ с заменой  линейной арматуры и отдельных опор (в том числе ПИР - 3,0 млн. руб.)</t>
  </si>
  <si>
    <t>Реконструкция газопровода высокого давления протяженностью 28 км (в том числе ПИР)</t>
  </si>
  <si>
    <t>Сокращение расходов по обслуживанию, создание условий для сбережения теплоресурсов</t>
  </si>
  <si>
    <t>Снижение уровня аварийности, числа пострадавших в ДТП и снижение стоимости ремонтных работ</t>
  </si>
  <si>
    <t>Обеспечение охраны жизни граждан, повышение гарантий их законных прав на безопасные условия на дорогах</t>
  </si>
  <si>
    <t>Замена существующих газонаполненных ламп в светильниках уличного освещения на светодиодные</t>
  </si>
  <si>
    <t>Улучшение качества уличного освещения, экономия электроэнергии до 150 кВт/год</t>
  </si>
  <si>
    <t>по программе предприятия</t>
  </si>
  <si>
    <t>Создание условий для парковки большегрузного автотранспорта</t>
  </si>
  <si>
    <t>Улучшение библиотечного обслуживания населения</t>
  </si>
  <si>
    <t>2.2.1.</t>
  </si>
  <si>
    <t>2.2.2.</t>
  </si>
  <si>
    <t>3.9.</t>
  </si>
  <si>
    <t>1.7.</t>
  </si>
  <si>
    <t>1.8.</t>
  </si>
  <si>
    <t>Капитальный ремонт сетей канализации жилой зоны города</t>
  </si>
  <si>
    <t>Замена малых архитектурных форм на территории дошкольных учреждений</t>
  </si>
  <si>
    <t>2.1.1.</t>
  </si>
  <si>
    <t>Развитие инженерной инфраструктуры площадки 17 (электроснабжение, газоснабжение) в том числе ПИР</t>
  </si>
  <si>
    <t>Строительство полигона твердых бытовых отходов</t>
  </si>
  <si>
    <t>Строительство инженерной  инфраструктуры в кварталее 7/1  (в том числе ПИР)</t>
  </si>
  <si>
    <t>Реконструкция котельной ДКВР и ПТВМ, центральных тепловых пунктов ЦТП-1,  ЦТП-3, ГРП и газового хозяйства</t>
  </si>
  <si>
    <t xml:space="preserve"> Замена устаревшего оборудования.Сокращение расходов по обслуживанию, создание условий для сбережения энергоресурсов</t>
  </si>
  <si>
    <t>Обеспечение  бесперебойной подачи воды, замена изношенных трубопроводов.авляемых услуг и качества сетей водоснабжения</t>
  </si>
  <si>
    <t xml:space="preserve">  Замена  изношенных сетей. Улучшение качества предоставляемых услуг, экономия теплоресурсов.</t>
  </si>
  <si>
    <t xml:space="preserve"> Замена устаревшего оборудования. Бесперебойное снабжение потребителей теплом и горячей водой, установленных параметров при минимальных потерях</t>
  </si>
  <si>
    <t xml:space="preserve"> Замена изношенных сетей.Обеспечение безопасности систем газоснабжения и улучшение бытовых условий</t>
  </si>
  <si>
    <t>Повышение качества обслуживания населения III квартала</t>
  </si>
  <si>
    <t xml:space="preserve">Обеспечение доступного дошкольного образования.Улучшение демографической ситуации </t>
  </si>
  <si>
    <t xml:space="preserve"> Улучшение организации  оздоровления детей.</t>
  </si>
  <si>
    <t>Организация досуга граждан, расширение спектра услуг, оказываемых в сфере культуры и повышения их качесва.</t>
  </si>
  <si>
    <t>Формирование и развитие инфраструктуры поддержки малого предпринимательства.Создание новых рабочих мест.</t>
  </si>
  <si>
    <t xml:space="preserve"> Завершение строительства  многоквартирного 9 - ти этажного кирпично- панельного жилого дома №1 в 3 квартале</t>
  </si>
  <si>
    <t>Развитие индивидуального жилищного строительства и строительства жилья для многогдетных семей</t>
  </si>
  <si>
    <t>Подготовка территории для расширения существующего городского кладбища традиционного захоронения</t>
  </si>
  <si>
    <t>Создание на базе ФКП "Радуга"технопарковой зоны</t>
  </si>
  <si>
    <t>3.8.</t>
  </si>
  <si>
    <t>3.10.</t>
  </si>
  <si>
    <t>3.1.</t>
  </si>
  <si>
    <t>3.12.</t>
  </si>
  <si>
    <t>2.2.</t>
  </si>
  <si>
    <t>2.2.3.</t>
  </si>
  <si>
    <t>2.2.4.</t>
  </si>
  <si>
    <t>Учреждения образования</t>
  </si>
  <si>
    <t>1.19.</t>
  </si>
  <si>
    <t>1.21.</t>
  </si>
  <si>
    <t>1.4.</t>
  </si>
  <si>
    <t>1.5.</t>
  </si>
  <si>
    <t>1.9.</t>
  </si>
  <si>
    <t>1.10.</t>
  </si>
  <si>
    <t>1.12.</t>
  </si>
  <si>
    <t>1.13.</t>
  </si>
  <si>
    <t>1.14.</t>
  </si>
  <si>
    <t>1.15.</t>
  </si>
  <si>
    <t>1.16.</t>
  </si>
  <si>
    <t>1.17.</t>
  </si>
  <si>
    <t>1.20.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</si>
  <si>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</si>
  <si>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</si>
  <si>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</si>
  <si>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</si>
  <si>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</si>
  <si>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</si>
  <si>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</si>
  <si>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</si>
  <si>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</si>
  <si>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</si>
  <si>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</si>
  <si>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</si>
  <si>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</si>
  <si>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</si>
  <si>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</si>
  <si>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</si>
  <si>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</si>
  <si>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1.40.</t>
  </si>
  <si>
    <t>1.41.</t>
  </si>
  <si>
    <t>1.42.</t>
  </si>
  <si>
    <t>1.43.</t>
  </si>
  <si>
    <t>2.1.</t>
  </si>
  <si>
    <t xml:space="preserve">Ввод в эксплуатацию 4,7 тыс. кв. метров жилья. Выделение служебного жилья с целью привлечения квалифицированных кадров. </t>
  </si>
  <si>
    <t>Обеспечение доступного дошкольного образования детского сада на 235 мест</t>
  </si>
  <si>
    <t>местный бюджет</t>
  </si>
  <si>
    <t>2.1.3.</t>
  </si>
  <si>
    <t>Осуществление контрольно-пропускного режима  в контролируемую зону ЗАТО г.Радужный Владимирской области</t>
  </si>
  <si>
    <t>местный бюджет*</t>
  </si>
  <si>
    <t>1.3.</t>
  </si>
  <si>
    <t>Замена дорог в связи с длительным сроком эксплуатации</t>
  </si>
  <si>
    <t>2. Развитие производственной базы города</t>
  </si>
  <si>
    <t>Развитие промышленной базы города</t>
  </si>
  <si>
    <t>Строительство бассейна на 275 мест</t>
  </si>
  <si>
    <t>Создание комфортных условий для занятия спортом,создание 20 новых рабочих мест.</t>
  </si>
  <si>
    <t>Создание комфортных условий для занятия спортом,создание 25 новых рабочих мест.</t>
  </si>
  <si>
    <t>Строительство клубного учреждения на 250 зрительных мест</t>
  </si>
  <si>
    <t>Создание условий для проведения зрелищных мероприятий,создание 30 новых рабочих мест.</t>
  </si>
  <si>
    <t>Решение социальных и коммунально-бытовых вопросов,создание новых рабочих мест до 20 ежегодно</t>
  </si>
  <si>
    <t>Развитие градообразующего предприятия.                           Обеспечение условий, в том числе коммунальных, для развития безопасного и и устойчивого функционирования градообразующего предприятия ФКП "Государственный лазерный полигон "Радуга"</t>
  </si>
  <si>
    <t xml:space="preserve"> - собственные доходы</t>
  </si>
  <si>
    <t xml:space="preserve"> - дотации федерального бюджета бюджетам субъектов для ЗАТО</t>
  </si>
  <si>
    <t>Срок реализации 2014 - 2020 годы, в том числе по годам</t>
  </si>
  <si>
    <t>Потреб-ность в средствах на 2014 - 2016 годы</t>
  </si>
  <si>
    <t>Источник финансирования</t>
  </si>
  <si>
    <t>Экономический или социальный эффект от реализации мероприятий</t>
  </si>
  <si>
    <t>Строительство здания библиотеки (в том числе ПИР)</t>
  </si>
  <si>
    <t>Устройство новой подъездной автодороги к полигону ТБО (в т.ч. ПИР)</t>
  </si>
  <si>
    <t>Строительство второй очереди полигона твердых бытовых отходов</t>
  </si>
  <si>
    <t>По программе предприятия</t>
  </si>
  <si>
    <t>Повышение доступности жилья и улучшение жилищных условий жителей города</t>
  </si>
  <si>
    <t>Внебюджетные средства</t>
  </si>
  <si>
    <t>Местный бюджет, в том числе:</t>
  </si>
  <si>
    <t xml:space="preserve"> - межбюджет-ные трансферты областного бюджета</t>
  </si>
  <si>
    <t xml:space="preserve"> - дефицит</t>
  </si>
  <si>
    <t>Капитальный ремонт магистрального водопровода (диаметром 400 мм) от УВС 3 подъема до жилой зоны (замена стальных труб  на полипропиленовые трубы)</t>
  </si>
  <si>
    <t>Реализация мероприятий по организации охраны контролируемой зоны и безопасных условий для работы и проживания граждан.Освобождение градообразующего предприятия от дополнительных расходов.</t>
  </si>
  <si>
    <t xml:space="preserve"> внебюджетные средства</t>
  </si>
  <si>
    <t>1.44.</t>
  </si>
  <si>
    <t>Поддержание здания  в технически-исправном состоянии</t>
  </si>
  <si>
    <t>1.45.</t>
  </si>
  <si>
    <t xml:space="preserve">  внебюджетные средства</t>
  </si>
  <si>
    <t xml:space="preserve">местный бюджет      </t>
  </si>
  <si>
    <t xml:space="preserve">местный бюджет     </t>
  </si>
  <si>
    <t>ИТОГО по п.2.2.,        в том числе:</t>
  </si>
  <si>
    <t>ИТОГО по п.2.1.   в том числе:</t>
  </si>
  <si>
    <t xml:space="preserve"> Прокладка оптоволоконного кабеля связи г.Радужный   СП-13; СП-6.</t>
  </si>
  <si>
    <t>Повышение качества оказания услуг  общего образования</t>
  </si>
  <si>
    <t>Реконструкция прогулочных веранд в детских садах №3 и №5</t>
  </si>
  <si>
    <t>внебюжные средства</t>
  </si>
  <si>
    <t>Устройство  спортивных, игровых и хозяйственных площадок многоквартирных жилых домов</t>
  </si>
  <si>
    <t>Оснащение системой видеонаблюдения мест с массовым пребыванием людей</t>
  </si>
  <si>
    <t xml:space="preserve">Капитальный ремонт сетей холодного водоснабжения к многоквартирным жилым домам </t>
  </si>
  <si>
    <t>Строительство очистных сооружений  ливневых вод  (в том числе ПИР)</t>
  </si>
  <si>
    <t>Капитальный ремонт тепловых сетей  и сетей горячего водоснабжения 1 и 3 кварталов</t>
  </si>
  <si>
    <t>Капитальный ремонт кровель, фасадов, межпанельных швов, аварийных балконных плит, козырьков входов в поъезды многоквартирных  жилых домов</t>
  </si>
  <si>
    <t>Проектирование и строительство автостанции</t>
  </si>
  <si>
    <t>Реконструкция ПС-110 кв.В (в том числе ПИР) с заменой оборудования</t>
  </si>
  <si>
    <t>Увеличение налоговых доходов платы в бюджет города</t>
  </si>
  <si>
    <t>Строительство спортивного зала 250 мест</t>
  </si>
  <si>
    <t>Расширение спектра предоставления государственных и муниципальных услуг</t>
  </si>
  <si>
    <t>Обеспечение полноценного отдыха детей и улучшение бытовых условий жителей</t>
  </si>
  <si>
    <t>Капитальный ремонт спортивных, игровых и хозяйственных площадок</t>
  </si>
  <si>
    <t>Расширение городского кладбище</t>
  </si>
  <si>
    <t xml:space="preserve">Снижение эксплуатационных затрат. </t>
  </si>
  <si>
    <t>Ремонт городских бань</t>
  </si>
  <si>
    <t>Повышение качества предоставляемых услуг в части бытового обслуживания</t>
  </si>
  <si>
    <t xml:space="preserve"> Ремонт наружного ограждения с установкой системы видеонаблюдения в образовательных учреждениях. </t>
  </si>
  <si>
    <t xml:space="preserve"> Ремонт площадок и благоустройство  территории детских садов и школ</t>
  </si>
  <si>
    <t xml:space="preserve"> Ремонт  в дошкольных и общеобразовательных учреждениях.</t>
  </si>
  <si>
    <t>Развитие квартала 7/3 под жилищное строительство ( в том числе ПИР, строительство жилого дома)</t>
  </si>
  <si>
    <t>2014-2025г.</t>
  </si>
  <si>
    <t>2017-2025г.</t>
  </si>
  <si>
    <t>2018-2025г.</t>
  </si>
  <si>
    <t>Ремонт жилого фонда  и сооружений социально- культурной сферы</t>
  </si>
  <si>
    <t>Строительство детского дошкольного учреждения на 235 мест в квартале 7/3</t>
  </si>
  <si>
    <t>1.18.</t>
  </si>
  <si>
    <t>1.39.</t>
  </si>
  <si>
    <t>3.11.</t>
  </si>
  <si>
    <t xml:space="preserve">Ремонт здания бассейна  Детской юношесткой спортивной школы </t>
  </si>
  <si>
    <t>Ремонт МБУК  "МСДЦ"</t>
  </si>
  <si>
    <t>Ремонт ДШИ</t>
  </si>
  <si>
    <t>Ремонт хоккейных площадок 1 и 3 кварталов</t>
  </si>
  <si>
    <t>Перечень мероприятий "Комплексной программы социально-экономического развития ЗАТОг.Радужный                                                                               на 2014-2016 годы и на период до 2020 года"</t>
  </si>
  <si>
    <t>Благоустройство дворовых территорий многоквартирных жилых домов</t>
  </si>
  <si>
    <t>Жилой фонд</t>
  </si>
  <si>
    <t>Прочие учереждения социальной сферы</t>
  </si>
  <si>
    <t>1.47.</t>
  </si>
  <si>
    <t>1.46.</t>
  </si>
  <si>
    <t>3.7</t>
  </si>
  <si>
    <t>3.14.</t>
  </si>
  <si>
    <t xml:space="preserve">Реконструкция очистных сооружений северной группы (строительство  системы обеззараживания сточных вод) </t>
  </si>
  <si>
    <t>Устройство пешеходной дорожки от КПП ЗАТО до Городской больницы</t>
  </si>
  <si>
    <t>Ремонт детского дошкольного учреждения на 600 мест № 5.</t>
  </si>
  <si>
    <t>Создание многофункционального  центра оказания государственных и муниципальных услуг</t>
  </si>
  <si>
    <t xml:space="preserve">Ремонт  напорных канализационных коллекторов </t>
  </si>
  <si>
    <t>Ремонт дорог и пешеходных дорожек, расширение стоянок автотранспорта у жилых домов 1 и 3 кварталов и магазина "Дельфин", ЦТП, у памятника И.С.Косьмнова, административного здания ЗАО Радугаэнерго" и т.д.</t>
  </si>
  <si>
    <t>Ремонт загородного оздоровительного лагеря "Лесной городок"  и ЦВР "Лад"</t>
  </si>
  <si>
    <t xml:space="preserve"> Строительство объекта "Многофункциональная игровая площадка площадью 800 кв. м. с детским спортивно-оздоровительным комплексом" </t>
  </si>
  <si>
    <t>Ремонт  МБУК "Центр досуга молодежи"</t>
  </si>
  <si>
    <t>Ремонт МБУК  КЦ "Досуг"</t>
  </si>
  <si>
    <t xml:space="preserve">Решение проблемы утилизации и захоронения твердых бытовых отходов. Обеспечение требований охраны окружающей среды </t>
  </si>
  <si>
    <t>Сокращение затрат за текущий ремонт зданий и сооружений на 5-10 %, увеличение сроков эксплуатации здания. Открытие современного  цифрового кинозала.</t>
  </si>
  <si>
    <t>Развитие инженерной инфраструктуры  площадки 16 (водоснабжение, газоснабжение)</t>
  </si>
  <si>
    <t>Развитие юго-западной части 9 квартала под жилое строительство.(строительство инженерных сетей)</t>
  </si>
  <si>
    <t>Ремонт  спортивного корпуса "Кристалл" Детской юношесткой спортивной школы (футбольное поле)</t>
  </si>
  <si>
    <t>Глава администрации</t>
  </si>
  <si>
    <t>С.А. Найдухов</t>
  </si>
  <si>
    <t>ЗАТО г. Радужный Владимирской области</t>
  </si>
  <si>
    <t>к Комплексной программе социально-экономического развития</t>
  </si>
  <si>
    <t xml:space="preserve">Приложение  № 2                                                                                                                                         </t>
  </si>
  <si>
    <t>ЗАТО г. Радужный Владимирской области  на 2014 – 2016 годы и на период</t>
  </si>
  <si>
    <t>плановый период до 2025 г.</t>
  </si>
  <si>
    <t>2014-2025 г.</t>
  </si>
  <si>
    <t>2025 г.</t>
  </si>
  <si>
    <t>2016-2025 г.</t>
  </si>
  <si>
    <t>2014-2017 г.</t>
  </si>
  <si>
    <t>2015-2025 г.</t>
  </si>
  <si>
    <t>2017-2025 г.</t>
  </si>
  <si>
    <t>2019-2020 г.</t>
  </si>
  <si>
    <t>2016-2017 г.</t>
  </si>
  <si>
    <t>2014-2020 г.</t>
  </si>
  <si>
    <t>2018-2020 г.</t>
  </si>
  <si>
    <t>2015-2017 г.</t>
  </si>
  <si>
    <t>2021-2025 г.</t>
  </si>
  <si>
    <t>2017-2019 г.</t>
  </si>
  <si>
    <t>2015 г.</t>
  </si>
  <si>
    <t>2017-2020 г.</t>
  </si>
  <si>
    <t>2016-2020 г.</t>
  </si>
  <si>
    <t>2017-2018 г.</t>
  </si>
  <si>
    <t>2014-2015 г.</t>
  </si>
  <si>
    <t>2015-2020 г.</t>
  </si>
  <si>
    <t>2019-2025 г.</t>
  </si>
  <si>
    <t>2014 - 2025 г.</t>
  </si>
  <si>
    <t>2018-2025 г.</t>
  </si>
  <si>
    <t>Ремонт общежитий №1, № 2; № 3 (замена окон, электроосвещения, вентиляция и т.д.)</t>
  </si>
  <si>
    <t>Ремонт дорог общего пользования, в т.ч. подъездных автомобильных дорог  1 и 3 кварталов, участка кольцевой автомобильной дороги вокруг 1 и 3 кварталов кварталов и т.д.</t>
  </si>
  <si>
    <t xml:space="preserve">Ремонт и реконструкция действующих автомобильных дорог до технологической зоны СП-13, СП-4А ФКП "ГЛП "Радуга", Электон - Буланово, в районе ООО "Славянка" 17 квартал </t>
  </si>
  <si>
    <t>Обустройство парковой зоны, эстрады, в том числе ПИР</t>
  </si>
  <si>
    <t>Согласовано:</t>
  </si>
  <si>
    <t>Заместитель главы администрации города 
по финансам и экономике, начальник
финансового управления</t>
  </si>
  <si>
    <t>О.М. Горшкова</t>
  </si>
  <si>
    <t>исп. Т.П. Симонова                                        тел. 8(49254) 3-55-02</t>
  </si>
  <si>
    <t>до 2020 года (от 23.12.2019 г.№ 20/111)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</si>
</sst>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1">
    <font>
      <sz val="10"/>
      <name val="Arial Cyr"/>
      <charset val="204"/>
    </font>
    <font>
      <sz val="14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sz val="10"/>
      <name val="Times New Roman"/>
      <family val="1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/>
    <xf numFmtId="164" fontId="1" fillId="0" borderId="1" xfId="0" applyNumberFormat="1" applyFont="1" applyFill="1" applyBorder="1" applyAlignment="1">
      <alignment vertical="center" wrapText="1"/>
    </xf>
    <xf numFmtId="0" fontId="0" fillId="0" borderId="0" xfId="0" applyFill="1" applyAlignment="1"/>
    <xf numFmtId="0" fontId="0" fillId="0" borderId="0" xfId="0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165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2" fontId="14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14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164" fontId="19" fillId="0" borderId="1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164" fontId="19" fillId="0" borderId="5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2" fontId="3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164" fontId="12" fillId="0" borderId="4" xfId="0" applyNumberFormat="1" applyFont="1" applyFill="1" applyBorder="1" applyAlignment="1">
      <alignment vertical="center" wrapText="1"/>
    </xf>
    <xf numFmtId="165" fontId="14" fillId="0" borderId="1" xfId="0" applyNumberFormat="1" applyFont="1" applyFill="1" applyBorder="1" applyAlignment="1">
      <alignment vertical="center" wrapText="1"/>
    </xf>
    <xf numFmtId="164" fontId="14" fillId="0" borderId="4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65" fontId="5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64" fontId="10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17" fontId="17" fillId="0" borderId="1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2" fontId="0" fillId="0" borderId="0" xfId="0" applyNumberFormat="1" applyFill="1" applyAlignment="1"/>
    <xf numFmtId="2" fontId="0" fillId="0" borderId="0" xfId="0" applyNumberFormat="1" applyFill="1" applyAlignment="1">
      <alignment vertical="center"/>
    </xf>
    <xf numFmtId="2" fontId="2" fillId="0" borderId="0" xfId="0" applyNumberFormat="1" applyFont="1" applyFill="1" applyAlignment="1"/>
    <xf numFmtId="165" fontId="0" fillId="0" borderId="0" xfId="0" applyNumberFormat="1" applyFill="1" applyAlignment="1"/>
    <xf numFmtId="165" fontId="0" fillId="0" borderId="0" xfId="0" applyNumberFormat="1" applyFill="1" applyAlignment="1">
      <alignment vertical="center"/>
    </xf>
    <xf numFmtId="165" fontId="2" fillId="0" borderId="0" xfId="0" applyNumberFormat="1" applyFont="1" applyFill="1" applyAlignment="1"/>
    <xf numFmtId="2" fontId="0" fillId="0" borderId="0" xfId="0" applyNumberFormat="1" applyFill="1" applyBorder="1" applyAlignment="1"/>
    <xf numFmtId="2" fontId="2" fillId="0" borderId="0" xfId="0" applyNumberFormat="1" applyFont="1" applyFill="1" applyBorder="1" applyAlignment="1"/>
    <xf numFmtId="164" fontId="12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wrapText="1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vertical="center" wrapText="1"/>
    </xf>
    <xf numFmtId="164" fontId="12" fillId="0" borderId="2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6"/>
  <sheetViews>
    <sheetView tabSelected="1" view="pageBreakPreview" topLeftCell="A4" zoomScaleNormal="75" zoomScaleSheetLayoutView="100" zoomScalePageLayoutView="85" workbookViewId="0">
      <pane xSplit="3" ySplit="4" topLeftCell="D84" activePane="bottomRight" state="frozen"/>
      <selection activeCell="A4" sqref="A4"/>
      <selection pane="topRight" activeCell="D4" sqref="D4"/>
      <selection pane="bottomLeft" activeCell="A8" sqref="A8"/>
      <selection pane="bottomRight" activeCell="A5" sqref="A5:O5"/>
    </sheetView>
  </sheetViews>
  <sheetFormatPr defaultColWidth="10.28515625" defaultRowHeight="18.75"/>
  <cols>
    <col min="1" max="1" width="6.28515625" style="69" customWidth="1"/>
    <col min="2" max="2" width="23.7109375" style="11" customWidth="1"/>
    <col min="3" max="3" width="6.85546875" style="52" customWidth="1"/>
    <col min="4" max="4" width="13.42578125" style="11" customWidth="1"/>
    <col min="5" max="5" width="9.140625" style="17" customWidth="1"/>
    <col min="6" max="6" width="8.7109375" style="17" customWidth="1"/>
    <col min="7" max="7" width="8" style="17" customWidth="1"/>
    <col min="8" max="8" width="8.28515625" style="17" customWidth="1"/>
    <col min="9" max="9" width="8.7109375" style="17" customWidth="1"/>
    <col min="10" max="10" width="9" style="17" customWidth="1"/>
    <col min="11" max="11" width="10" style="17" customWidth="1"/>
    <col min="12" max="12" width="9.85546875" style="17" customWidth="1"/>
    <col min="13" max="13" width="9.85546875" style="48" customWidth="1"/>
    <col min="14" max="14" width="9.42578125" style="48" customWidth="1"/>
    <col min="15" max="15" width="21" style="49" customWidth="1"/>
    <col min="16" max="16" width="0" style="1" hidden="1" customWidth="1"/>
    <col min="17" max="17" width="9" style="1" hidden="1" customWidth="1"/>
    <col min="18" max="16384" width="10.28515625" style="1"/>
  </cols>
  <sheetData>
    <row r="1" spans="1:17">
      <c r="H1" s="18"/>
      <c r="I1" s="121" t="s">
        <v>233</v>
      </c>
      <c r="J1" s="121"/>
      <c r="K1" s="121"/>
      <c r="L1" s="121"/>
      <c r="M1" s="121"/>
      <c r="N1" s="121"/>
      <c r="O1" s="121"/>
    </row>
    <row r="2" spans="1:17" ht="17.649999999999999" customHeight="1">
      <c r="H2" s="18"/>
      <c r="I2" s="121" t="s">
        <v>232</v>
      </c>
      <c r="J2" s="121"/>
      <c r="K2" s="121"/>
      <c r="L2" s="121"/>
      <c r="M2" s="121"/>
      <c r="N2" s="121"/>
      <c r="O2" s="121"/>
    </row>
    <row r="3" spans="1:17" ht="17.649999999999999" customHeight="1">
      <c r="H3" s="18"/>
      <c r="I3" s="121" t="s">
        <v>234</v>
      </c>
      <c r="J3" s="121"/>
      <c r="K3" s="121"/>
      <c r="L3" s="121"/>
      <c r="M3" s="121"/>
      <c r="N3" s="121"/>
      <c r="O3" s="121"/>
    </row>
    <row r="4" spans="1:17" ht="17.649999999999999" customHeight="1">
      <c r="H4" s="18"/>
      <c r="I4" s="121" t="s">
        <v>266</v>
      </c>
      <c r="J4" s="121"/>
      <c r="K4" s="121"/>
      <c r="L4" s="121"/>
      <c r="M4" s="121"/>
      <c r="N4" s="121"/>
      <c r="O4" s="121"/>
    </row>
    <row r="5" spans="1:17" ht="47.25" customHeight="1">
      <c r="A5" s="126" t="s">
        <v>206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1:17" s="2" customFormat="1" ht="33" customHeight="1">
      <c r="A6" s="127" t="s">
        <v>7</v>
      </c>
      <c r="B6" s="124" t="s">
        <v>2</v>
      </c>
      <c r="C6" s="124" t="s">
        <v>45</v>
      </c>
      <c r="D6" s="124" t="s">
        <v>147</v>
      </c>
      <c r="E6" s="128" t="s">
        <v>9</v>
      </c>
      <c r="F6" s="129" t="s">
        <v>146</v>
      </c>
      <c r="G6" s="130" t="s">
        <v>145</v>
      </c>
      <c r="H6" s="131"/>
      <c r="I6" s="131"/>
      <c r="J6" s="131"/>
      <c r="K6" s="131"/>
      <c r="L6" s="131"/>
      <c r="M6" s="132"/>
      <c r="N6" s="133" t="s">
        <v>235</v>
      </c>
      <c r="O6" s="124" t="s">
        <v>148</v>
      </c>
    </row>
    <row r="7" spans="1:17" s="2" customFormat="1" ht="40.700000000000003" customHeight="1">
      <c r="A7" s="127"/>
      <c r="B7" s="124"/>
      <c r="C7" s="124"/>
      <c r="D7" s="124"/>
      <c r="E7" s="128"/>
      <c r="F7" s="129"/>
      <c r="G7" s="3">
        <v>2014</v>
      </c>
      <c r="H7" s="3">
        <v>2015</v>
      </c>
      <c r="I7" s="3">
        <v>2016</v>
      </c>
      <c r="J7" s="3">
        <v>2017</v>
      </c>
      <c r="K7" s="3">
        <v>2018</v>
      </c>
      <c r="L7" s="3">
        <v>2019</v>
      </c>
      <c r="M7" s="4">
        <v>2020</v>
      </c>
      <c r="N7" s="134"/>
      <c r="O7" s="124"/>
    </row>
    <row r="8" spans="1:17" s="5" customFormat="1" ht="31.7" customHeight="1">
      <c r="A8" s="122"/>
      <c r="B8" s="123" t="s">
        <v>3</v>
      </c>
      <c r="C8" s="124"/>
      <c r="D8" s="19" t="s">
        <v>27</v>
      </c>
      <c r="E8" s="20">
        <f>E9+E10</f>
        <v>1216.5995869999999</v>
      </c>
      <c r="F8" s="20">
        <f>F9+F10</f>
        <v>286.89999999999998</v>
      </c>
      <c r="G8" s="20">
        <f>G9+G10</f>
        <v>68.8</v>
      </c>
      <c r="H8" s="20">
        <f t="shared" ref="H8:N8" si="0">H9+H10</f>
        <v>64.400000000000006</v>
      </c>
      <c r="I8" s="20">
        <f t="shared" si="0"/>
        <v>153.69999999999999</v>
      </c>
      <c r="J8" s="20">
        <f t="shared" si="0"/>
        <v>129.60000000000002</v>
      </c>
      <c r="K8" s="20">
        <f t="shared" si="0"/>
        <v>90.59999999999998</v>
      </c>
      <c r="L8" s="20">
        <f t="shared" si="0"/>
        <v>99.651587000000006</v>
      </c>
      <c r="M8" s="20">
        <f t="shared" si="0"/>
        <v>126.57400000000001</v>
      </c>
      <c r="N8" s="20">
        <f t="shared" si="0"/>
        <v>483.27399999999994</v>
      </c>
      <c r="O8" s="125"/>
      <c r="P8" s="80">
        <v>1216.5999999999999</v>
      </c>
      <c r="Q8" s="83"/>
    </row>
    <row r="9" spans="1:17" s="5" customFormat="1" ht="31.7" customHeight="1">
      <c r="A9" s="122"/>
      <c r="B9" s="123"/>
      <c r="C9" s="124"/>
      <c r="D9" s="19" t="s">
        <v>44</v>
      </c>
      <c r="E9" s="20">
        <f>G9+H9+I9+J9+K9+L9+M9+N9</f>
        <v>338</v>
      </c>
      <c r="F9" s="20">
        <f>G9+H9+I9</f>
        <v>127.9</v>
      </c>
      <c r="G9" s="20">
        <f>G39+G49+G17+G27+G28+G29+G48+G18</f>
        <v>24.9</v>
      </c>
      <c r="H9" s="20">
        <f>H39+H49+H17+H27+H28+H29+H48+H18</f>
        <v>31.8</v>
      </c>
      <c r="I9" s="20">
        <f>I39+I49+I17+I27+I28+I29+I48+I18</f>
        <v>71.2</v>
      </c>
      <c r="J9" s="20">
        <f>J39+J49+J17+J27+J28+J29+J48+J18</f>
        <v>36.700000000000003</v>
      </c>
      <c r="K9" s="20">
        <f>K39+K49+K17+K27+K28+K29+K48+K18+K64</f>
        <v>13.6</v>
      </c>
      <c r="L9" s="20">
        <f>L39+L49+L17+L27+L28+L29+L48+L18+L64</f>
        <v>9</v>
      </c>
      <c r="M9" s="20">
        <f>M39+M49+M17+M27+M28+M29+M48+M18+M64</f>
        <v>45.3</v>
      </c>
      <c r="N9" s="20">
        <f>N39+N49+N17+N27+N28+N29+N48+N18+N64</f>
        <v>105.5</v>
      </c>
      <c r="O9" s="125"/>
      <c r="P9" s="80">
        <v>338</v>
      </c>
      <c r="Q9" s="83"/>
    </row>
    <row r="10" spans="1:17" s="6" customFormat="1" ht="30" customHeight="1">
      <c r="A10" s="122"/>
      <c r="B10" s="123"/>
      <c r="C10" s="124"/>
      <c r="D10" s="19" t="s">
        <v>128</v>
      </c>
      <c r="E10" s="20">
        <f>G10+H10+I10+J10+K10+L10+M10+N10</f>
        <v>878.59958699999993</v>
      </c>
      <c r="F10" s="20">
        <f>G10+H10+I10</f>
        <v>159</v>
      </c>
      <c r="G10" s="20">
        <f t="shared" ref="G10:N10" si="1">G12+G13+G14+G16+G20+G21+G22+G23+G24+G26+G31+G32+G35+G36+G38+G37+G40+G41+G42+G43+G44+G47+G50+G52+G53+G54+G55+G56+G57+G58+G59+G61+G62+G63+G65+G66+G34+G67+G69+G71</f>
        <v>43.9</v>
      </c>
      <c r="H10" s="20">
        <f t="shared" si="1"/>
        <v>32.600000000000009</v>
      </c>
      <c r="I10" s="20">
        <f t="shared" si="1"/>
        <v>82.5</v>
      </c>
      <c r="J10" s="20">
        <f t="shared" si="1"/>
        <v>92.9</v>
      </c>
      <c r="K10" s="20">
        <f t="shared" si="1"/>
        <v>76.999999999999986</v>
      </c>
      <c r="L10" s="20">
        <f t="shared" si="1"/>
        <v>90.651587000000006</v>
      </c>
      <c r="M10" s="20">
        <f t="shared" si="1"/>
        <v>81.274000000000015</v>
      </c>
      <c r="N10" s="20">
        <f t="shared" si="1"/>
        <v>377.77399999999994</v>
      </c>
      <c r="O10" s="125"/>
      <c r="P10" s="81">
        <v>878.59999999999991</v>
      </c>
      <c r="Q10" s="84"/>
    </row>
    <row r="11" spans="1:17" s="8" customFormat="1">
      <c r="A11" s="70"/>
      <c r="B11" s="12" t="s">
        <v>17</v>
      </c>
      <c r="C11" s="59"/>
      <c r="D11" s="21"/>
      <c r="E11" s="22"/>
      <c r="F11" s="23"/>
      <c r="G11" s="23"/>
      <c r="H11" s="23"/>
      <c r="I11" s="23"/>
      <c r="J11" s="23"/>
      <c r="K11" s="23"/>
      <c r="L11" s="23"/>
      <c r="M11" s="24"/>
      <c r="N11" s="24"/>
      <c r="O11" s="7"/>
      <c r="P11" s="79"/>
      <c r="Q11" s="82"/>
    </row>
    <row r="12" spans="1:17" s="8" customFormat="1" ht="87" customHeight="1">
      <c r="A12" s="70" t="s">
        <v>0</v>
      </c>
      <c r="B12" s="65" t="s">
        <v>8</v>
      </c>
      <c r="C12" s="59" t="s">
        <v>236</v>
      </c>
      <c r="D12" s="21" t="s">
        <v>128</v>
      </c>
      <c r="E12" s="25">
        <f>SUM(G12:N12)</f>
        <v>8.8539999999999992</v>
      </c>
      <c r="F12" s="26">
        <f>G12+H12+I12</f>
        <v>6.6999999999999993</v>
      </c>
      <c r="G12" s="26">
        <v>4.3</v>
      </c>
      <c r="H12" s="26">
        <v>0.5</v>
      </c>
      <c r="I12" s="26">
        <v>1.9</v>
      </c>
      <c r="J12" s="26">
        <v>0.2</v>
      </c>
      <c r="K12" s="26"/>
      <c r="L12" s="26">
        <v>1.954</v>
      </c>
      <c r="M12" s="26"/>
      <c r="N12" s="26"/>
      <c r="O12" s="87" t="s">
        <v>69</v>
      </c>
      <c r="P12" s="79">
        <v>6.8999999999999995</v>
      </c>
      <c r="Q12" s="82">
        <f>E12-P12</f>
        <v>1.9539999999999997</v>
      </c>
    </row>
    <row r="13" spans="1:17" s="9" customFormat="1" ht="75.75" customHeight="1">
      <c r="A13" s="70" t="s">
        <v>1</v>
      </c>
      <c r="B13" s="65" t="s">
        <v>47</v>
      </c>
      <c r="C13" s="59" t="s">
        <v>237</v>
      </c>
      <c r="D13" s="21" t="s">
        <v>128</v>
      </c>
      <c r="E13" s="25">
        <f t="shared" ref="E13:E69" si="2">SUM(G13:N13)</f>
        <v>30.045999999999999</v>
      </c>
      <c r="F13" s="26">
        <f>G13+H13+I13</f>
        <v>0</v>
      </c>
      <c r="G13" s="26"/>
      <c r="H13" s="26"/>
      <c r="I13" s="26"/>
      <c r="J13" s="26"/>
      <c r="K13" s="26"/>
      <c r="L13" s="26"/>
      <c r="M13" s="26"/>
      <c r="N13" s="26">
        <f>32-1.954</f>
        <v>30.045999999999999</v>
      </c>
      <c r="O13" s="60" t="s">
        <v>10</v>
      </c>
      <c r="P13" s="85">
        <v>32</v>
      </c>
      <c r="Q13" s="82">
        <f t="shared" ref="Q13:Q76" si="3">E13-P13</f>
        <v>-1.9540000000000006</v>
      </c>
    </row>
    <row r="14" spans="1:17" s="10" customFormat="1" ht="83.25" customHeight="1">
      <c r="A14" s="70" t="s">
        <v>132</v>
      </c>
      <c r="B14" s="65" t="s">
        <v>180</v>
      </c>
      <c r="C14" s="59" t="s">
        <v>237</v>
      </c>
      <c r="D14" s="21" t="s">
        <v>128</v>
      </c>
      <c r="E14" s="25">
        <f t="shared" si="2"/>
        <v>25</v>
      </c>
      <c r="F14" s="26">
        <f>G14+H14+I14</f>
        <v>0</v>
      </c>
      <c r="G14" s="26"/>
      <c r="H14" s="26"/>
      <c r="I14" s="26"/>
      <c r="J14" s="26"/>
      <c r="K14" s="26"/>
      <c r="L14" s="26"/>
      <c r="M14" s="26"/>
      <c r="N14" s="26">
        <v>25</v>
      </c>
      <c r="O14" s="60" t="s">
        <v>11</v>
      </c>
      <c r="P14" s="86">
        <v>25</v>
      </c>
      <c r="Q14" s="82">
        <f t="shared" si="3"/>
        <v>0</v>
      </c>
    </row>
    <row r="15" spans="1:17" s="10" customFormat="1" ht="18" customHeight="1">
      <c r="A15" s="70"/>
      <c r="B15" s="12" t="s">
        <v>18</v>
      </c>
      <c r="C15" s="59"/>
      <c r="D15" s="21"/>
      <c r="E15" s="25"/>
      <c r="F15" s="26"/>
      <c r="G15" s="26"/>
      <c r="H15" s="26"/>
      <c r="I15" s="26"/>
      <c r="J15" s="26"/>
      <c r="K15" s="26"/>
      <c r="L15" s="26"/>
      <c r="M15" s="26"/>
      <c r="N15" s="26"/>
      <c r="O15" s="60"/>
      <c r="P15" s="86"/>
      <c r="Q15" s="82">
        <f t="shared" si="3"/>
        <v>0</v>
      </c>
    </row>
    <row r="16" spans="1:17" s="9" customFormat="1" ht="64.5" customHeight="1">
      <c r="A16" s="91" t="s">
        <v>93</v>
      </c>
      <c r="B16" s="93" t="s">
        <v>175</v>
      </c>
      <c r="C16" s="95" t="s">
        <v>236</v>
      </c>
      <c r="D16" s="21" t="s">
        <v>128</v>
      </c>
      <c r="E16" s="25">
        <f t="shared" si="2"/>
        <v>57.6</v>
      </c>
      <c r="F16" s="26">
        <f>G16+H16+I16</f>
        <v>9.6000000000000014</v>
      </c>
      <c r="G16" s="26">
        <v>3.6</v>
      </c>
      <c r="H16" s="26">
        <v>1.3</v>
      </c>
      <c r="I16" s="26">
        <v>4.7</v>
      </c>
      <c r="J16" s="26">
        <v>5</v>
      </c>
      <c r="K16" s="26">
        <f>5.2+0.5</f>
        <v>5.7</v>
      </c>
      <c r="L16" s="26">
        <v>5.1319999999999997</v>
      </c>
      <c r="M16" s="26">
        <f>5.4+0.268</f>
        <v>5.6680000000000001</v>
      </c>
      <c r="N16" s="26">
        <f>26.5</f>
        <v>26.5</v>
      </c>
      <c r="O16" s="97" t="s">
        <v>70</v>
      </c>
      <c r="P16" s="85">
        <v>57.6</v>
      </c>
      <c r="Q16" s="82">
        <f t="shared" si="3"/>
        <v>0</v>
      </c>
    </row>
    <row r="17" spans="1:17" s="9" customFormat="1" ht="35.25" customHeight="1">
      <c r="A17" s="92"/>
      <c r="B17" s="94"/>
      <c r="C17" s="96"/>
      <c r="D17" s="21" t="s">
        <v>44</v>
      </c>
      <c r="E17" s="25">
        <f t="shared" si="2"/>
        <v>12.6</v>
      </c>
      <c r="F17" s="26">
        <f>G17+H17+I17</f>
        <v>0.9</v>
      </c>
      <c r="G17" s="26"/>
      <c r="H17" s="26"/>
      <c r="I17" s="26">
        <v>0.9</v>
      </c>
      <c r="J17" s="26">
        <v>1</v>
      </c>
      <c r="K17" s="26">
        <v>1.1000000000000001</v>
      </c>
      <c r="L17" s="26">
        <v>1.1000000000000001</v>
      </c>
      <c r="M17" s="26">
        <v>1.5</v>
      </c>
      <c r="N17" s="27">
        <v>7</v>
      </c>
      <c r="O17" s="98"/>
      <c r="P17" s="85">
        <v>12.6</v>
      </c>
      <c r="Q17" s="82">
        <f t="shared" si="3"/>
        <v>0</v>
      </c>
    </row>
    <row r="18" spans="1:17" s="8" customFormat="1" ht="96.75" customHeight="1">
      <c r="A18" s="71" t="s">
        <v>94</v>
      </c>
      <c r="B18" s="65" t="s">
        <v>158</v>
      </c>
      <c r="C18" s="59" t="s">
        <v>238</v>
      </c>
      <c r="D18" s="21" t="s">
        <v>44</v>
      </c>
      <c r="E18" s="25">
        <f t="shared" si="2"/>
        <v>30</v>
      </c>
      <c r="F18" s="26">
        <f>G18+H18+I18</f>
        <v>20</v>
      </c>
      <c r="G18" s="26"/>
      <c r="H18" s="26"/>
      <c r="I18" s="26">
        <v>20</v>
      </c>
      <c r="J18" s="26"/>
      <c r="K18" s="26"/>
      <c r="L18" s="26"/>
      <c r="M18" s="26">
        <f>5+5</f>
        <v>10</v>
      </c>
      <c r="N18" s="26"/>
      <c r="O18" s="60" t="s">
        <v>12</v>
      </c>
      <c r="P18" s="79">
        <v>30</v>
      </c>
      <c r="Q18" s="82">
        <f t="shared" si="3"/>
        <v>0</v>
      </c>
    </row>
    <row r="19" spans="1:17" s="8" customFormat="1" ht="23.25" customHeight="1">
      <c r="A19" s="70"/>
      <c r="B19" s="12" t="s">
        <v>19</v>
      </c>
      <c r="C19" s="59"/>
      <c r="D19" s="21"/>
      <c r="E19" s="25">
        <f t="shared" si="2"/>
        <v>0</v>
      </c>
      <c r="F19" s="26"/>
      <c r="G19" s="26"/>
      <c r="H19" s="26"/>
      <c r="I19" s="26"/>
      <c r="J19" s="26"/>
      <c r="K19" s="26"/>
      <c r="L19" s="26"/>
      <c r="M19" s="26"/>
      <c r="N19" s="26"/>
      <c r="O19" s="60"/>
      <c r="P19" s="79">
        <v>0</v>
      </c>
      <c r="Q19" s="82">
        <f t="shared" si="3"/>
        <v>0</v>
      </c>
    </row>
    <row r="20" spans="1:17" s="8" customFormat="1" ht="65.25" customHeight="1">
      <c r="A20" s="71" t="s">
        <v>60</v>
      </c>
      <c r="B20" s="65" t="s">
        <v>62</v>
      </c>
      <c r="C20" s="59" t="s">
        <v>236</v>
      </c>
      <c r="D20" s="21" t="s">
        <v>128</v>
      </c>
      <c r="E20" s="25">
        <f t="shared" si="2"/>
        <v>18.899999999999999</v>
      </c>
      <c r="F20" s="26">
        <f t="shared" ref="F20:F24" si="4">G20+H20+I20</f>
        <v>0.89999999999999991</v>
      </c>
      <c r="G20" s="26">
        <v>0.7</v>
      </c>
      <c r="H20" s="26">
        <v>0.2</v>
      </c>
      <c r="I20" s="26"/>
      <c r="J20" s="26"/>
      <c r="K20" s="26"/>
      <c r="L20" s="26"/>
      <c r="M20" s="26">
        <v>3</v>
      </c>
      <c r="N20" s="26">
        <v>15</v>
      </c>
      <c r="O20" s="60" t="s">
        <v>13</v>
      </c>
      <c r="P20" s="79">
        <v>18.899999999999999</v>
      </c>
      <c r="Q20" s="82">
        <f t="shared" si="3"/>
        <v>0</v>
      </c>
    </row>
    <row r="21" spans="1:17" s="8" customFormat="1" ht="73.5" customHeight="1">
      <c r="A21" s="71" t="s">
        <v>61</v>
      </c>
      <c r="B21" s="65" t="s">
        <v>214</v>
      </c>
      <c r="C21" s="59" t="s">
        <v>239</v>
      </c>
      <c r="D21" s="21" t="s">
        <v>128</v>
      </c>
      <c r="E21" s="28">
        <f t="shared" si="2"/>
        <v>19.450000000000003</v>
      </c>
      <c r="F21" s="26">
        <f t="shared" si="4"/>
        <v>19.400000000000002</v>
      </c>
      <c r="G21" s="26">
        <v>0.7</v>
      </c>
      <c r="H21" s="26">
        <v>2.6</v>
      </c>
      <c r="I21" s="26">
        <v>16.100000000000001</v>
      </c>
      <c r="J21" s="29">
        <v>0.05</v>
      </c>
      <c r="K21" s="26"/>
      <c r="L21" s="26"/>
      <c r="M21" s="26"/>
      <c r="N21" s="26"/>
      <c r="O21" s="60" t="s">
        <v>14</v>
      </c>
      <c r="P21" s="79">
        <v>19.450000000000003</v>
      </c>
      <c r="Q21" s="82">
        <f t="shared" si="3"/>
        <v>0</v>
      </c>
    </row>
    <row r="22" spans="1:17" s="8" customFormat="1" ht="60.75" customHeight="1">
      <c r="A22" s="71" t="s">
        <v>95</v>
      </c>
      <c r="B22" s="65" t="s">
        <v>218</v>
      </c>
      <c r="C22" s="59" t="s">
        <v>240</v>
      </c>
      <c r="D22" s="21" t="s">
        <v>128</v>
      </c>
      <c r="E22" s="28">
        <f t="shared" si="2"/>
        <v>32.049999999999997</v>
      </c>
      <c r="F22" s="26">
        <f t="shared" si="4"/>
        <v>7.7</v>
      </c>
      <c r="G22" s="26"/>
      <c r="H22" s="26">
        <v>0.2</v>
      </c>
      <c r="I22" s="26">
        <v>7.5</v>
      </c>
      <c r="J22" s="29">
        <f>4.7+0.75</f>
        <v>5.45</v>
      </c>
      <c r="K22" s="26">
        <v>6.8</v>
      </c>
      <c r="L22" s="26"/>
      <c r="M22" s="26"/>
      <c r="N22" s="26">
        <v>12.1</v>
      </c>
      <c r="O22" s="60" t="s">
        <v>14</v>
      </c>
      <c r="P22" s="79">
        <v>32.049999999999997</v>
      </c>
      <c r="Q22" s="82">
        <f t="shared" si="3"/>
        <v>0</v>
      </c>
    </row>
    <row r="23" spans="1:17" s="8" customFormat="1" ht="57.75" customHeight="1">
      <c r="A23" s="71" t="s">
        <v>96</v>
      </c>
      <c r="B23" s="65" t="s">
        <v>15</v>
      </c>
      <c r="C23" s="59" t="s">
        <v>241</v>
      </c>
      <c r="D23" s="21" t="s">
        <v>128</v>
      </c>
      <c r="E23" s="25">
        <f t="shared" si="2"/>
        <v>16</v>
      </c>
      <c r="F23" s="26">
        <f t="shared" si="4"/>
        <v>0</v>
      </c>
      <c r="G23" s="26"/>
      <c r="H23" s="26"/>
      <c r="I23" s="26"/>
      <c r="J23" s="26"/>
      <c r="K23" s="26"/>
      <c r="L23" s="26"/>
      <c r="M23" s="26">
        <v>3</v>
      </c>
      <c r="N23" s="26">
        <v>13</v>
      </c>
      <c r="O23" s="60" t="s">
        <v>14</v>
      </c>
      <c r="P23" s="79">
        <v>16</v>
      </c>
      <c r="Q23" s="82">
        <f t="shared" si="3"/>
        <v>0</v>
      </c>
    </row>
    <row r="24" spans="1:17" s="8" customFormat="1" ht="76.7" customHeight="1">
      <c r="A24" s="71" t="s">
        <v>97</v>
      </c>
      <c r="B24" s="65" t="s">
        <v>176</v>
      </c>
      <c r="C24" s="59" t="s">
        <v>242</v>
      </c>
      <c r="D24" s="21" t="s">
        <v>128</v>
      </c>
      <c r="E24" s="25">
        <f t="shared" si="2"/>
        <v>37.9</v>
      </c>
      <c r="F24" s="26">
        <f t="shared" si="4"/>
        <v>0</v>
      </c>
      <c r="G24" s="26"/>
      <c r="H24" s="26"/>
      <c r="I24" s="26"/>
      <c r="J24" s="26"/>
      <c r="K24" s="26"/>
      <c r="L24" s="26"/>
      <c r="M24" s="26">
        <f>2+2.6</f>
        <v>4.5999999999999996</v>
      </c>
      <c r="N24" s="26">
        <v>33.299999999999997</v>
      </c>
      <c r="O24" s="60" t="s">
        <v>16</v>
      </c>
      <c r="P24" s="79">
        <v>37.9</v>
      </c>
      <c r="Q24" s="82">
        <f t="shared" si="3"/>
        <v>0</v>
      </c>
    </row>
    <row r="25" spans="1:17" s="8" customFormat="1" ht="26.25" customHeight="1">
      <c r="A25" s="71"/>
      <c r="B25" s="12" t="s">
        <v>20</v>
      </c>
      <c r="C25" s="59"/>
      <c r="D25" s="21"/>
      <c r="E25" s="25">
        <f t="shared" si="2"/>
        <v>0</v>
      </c>
      <c r="F25" s="26"/>
      <c r="G25" s="26"/>
      <c r="H25" s="26"/>
      <c r="I25" s="26"/>
      <c r="J25" s="26"/>
      <c r="K25" s="26"/>
      <c r="L25" s="26"/>
      <c r="M25" s="26"/>
      <c r="N25" s="26"/>
      <c r="O25" s="60"/>
      <c r="P25" s="79">
        <v>0</v>
      </c>
      <c r="Q25" s="82">
        <f t="shared" si="3"/>
        <v>0</v>
      </c>
    </row>
    <row r="26" spans="1:17" s="8" customFormat="1" ht="44.25" customHeight="1">
      <c r="A26" s="91" t="s">
        <v>98</v>
      </c>
      <c r="B26" s="93" t="s">
        <v>177</v>
      </c>
      <c r="C26" s="95" t="s">
        <v>236</v>
      </c>
      <c r="D26" s="21" t="s">
        <v>128</v>
      </c>
      <c r="E26" s="25">
        <f>SUM(G26:N26)</f>
        <v>108.6</v>
      </c>
      <c r="F26" s="26">
        <f>G26+H26+I26</f>
        <v>23.5</v>
      </c>
      <c r="G26" s="26">
        <v>8.9</v>
      </c>
      <c r="H26" s="26">
        <v>6.2</v>
      </c>
      <c r="I26" s="26">
        <v>8.4</v>
      </c>
      <c r="J26" s="26">
        <v>8.9</v>
      </c>
      <c r="K26" s="26">
        <v>9.1999999999999993</v>
      </c>
      <c r="L26" s="26">
        <v>9.1999999999999993</v>
      </c>
      <c r="M26" s="26">
        <v>9.5</v>
      </c>
      <c r="N26" s="26">
        <v>48.3</v>
      </c>
      <c r="O26" s="97" t="s">
        <v>71</v>
      </c>
      <c r="P26" s="79">
        <v>108.6</v>
      </c>
      <c r="Q26" s="82">
        <f t="shared" si="3"/>
        <v>0</v>
      </c>
    </row>
    <row r="27" spans="1:17" s="8" customFormat="1" ht="29.25" customHeight="1">
      <c r="A27" s="92"/>
      <c r="B27" s="94"/>
      <c r="C27" s="96"/>
      <c r="D27" s="21" t="s">
        <v>44</v>
      </c>
      <c r="E27" s="25">
        <f t="shared" si="2"/>
        <v>72.400000000000006</v>
      </c>
      <c r="F27" s="26">
        <f>G27+H27+I27</f>
        <v>6.9</v>
      </c>
      <c r="G27" s="26"/>
      <c r="H27" s="26"/>
      <c r="I27" s="26">
        <v>6.9</v>
      </c>
      <c r="J27" s="26">
        <v>7.1</v>
      </c>
      <c r="K27" s="26">
        <v>7.5</v>
      </c>
      <c r="L27" s="26">
        <v>7.9</v>
      </c>
      <c r="M27" s="26">
        <v>8</v>
      </c>
      <c r="N27" s="27">
        <v>35</v>
      </c>
      <c r="O27" s="98"/>
      <c r="P27" s="79">
        <v>72.400000000000006</v>
      </c>
      <c r="Q27" s="82">
        <f t="shared" si="3"/>
        <v>0</v>
      </c>
    </row>
    <row r="28" spans="1:17" s="8" customFormat="1" ht="88.5" customHeight="1">
      <c r="A28" s="71" t="s">
        <v>99</v>
      </c>
      <c r="B28" s="65" t="s">
        <v>68</v>
      </c>
      <c r="C28" s="59" t="s">
        <v>195</v>
      </c>
      <c r="D28" s="21" t="s">
        <v>172</v>
      </c>
      <c r="E28" s="25">
        <f t="shared" si="2"/>
        <v>54</v>
      </c>
      <c r="F28" s="26">
        <f>G28+H28+I28</f>
        <v>0</v>
      </c>
      <c r="G28" s="26"/>
      <c r="H28" s="26"/>
      <c r="I28" s="26"/>
      <c r="J28" s="26"/>
      <c r="K28" s="26"/>
      <c r="L28" s="26"/>
      <c r="M28" s="26">
        <v>9.6999999999999993</v>
      </c>
      <c r="N28" s="26">
        <f>44.3</f>
        <v>44.3</v>
      </c>
      <c r="O28" s="60" t="s">
        <v>72</v>
      </c>
      <c r="P28" s="79">
        <v>54</v>
      </c>
      <c r="Q28" s="82">
        <f t="shared" si="3"/>
        <v>0</v>
      </c>
    </row>
    <row r="29" spans="1:17" s="8" customFormat="1" ht="51" customHeight="1">
      <c r="A29" s="71" t="s">
        <v>100</v>
      </c>
      <c r="B29" s="65" t="s">
        <v>21</v>
      </c>
      <c r="C29" s="59" t="s">
        <v>195</v>
      </c>
      <c r="D29" s="21" t="s">
        <v>172</v>
      </c>
      <c r="E29" s="25">
        <f t="shared" si="2"/>
        <v>25.6</v>
      </c>
      <c r="F29" s="26">
        <f>G29+H29+I29</f>
        <v>0</v>
      </c>
      <c r="G29" s="26"/>
      <c r="H29" s="26"/>
      <c r="I29" s="26"/>
      <c r="J29" s="26"/>
      <c r="K29" s="26"/>
      <c r="L29" s="26"/>
      <c r="M29" s="26">
        <v>10.6</v>
      </c>
      <c r="N29" s="26">
        <v>15</v>
      </c>
      <c r="O29" s="60" t="s">
        <v>49</v>
      </c>
      <c r="P29" s="79">
        <v>25.6</v>
      </c>
      <c r="Q29" s="82">
        <f t="shared" si="3"/>
        <v>0</v>
      </c>
    </row>
    <row r="30" spans="1:17" s="8" customFormat="1" ht="21.75" customHeight="1">
      <c r="A30" s="71"/>
      <c r="B30" s="12" t="s">
        <v>22</v>
      </c>
      <c r="C30" s="59"/>
      <c r="D30" s="21"/>
      <c r="E30" s="25">
        <f t="shared" si="2"/>
        <v>0</v>
      </c>
      <c r="F30" s="26"/>
      <c r="G30" s="26"/>
      <c r="H30" s="26"/>
      <c r="I30" s="26"/>
      <c r="J30" s="26"/>
      <c r="K30" s="26"/>
      <c r="L30" s="26"/>
      <c r="M30" s="26"/>
      <c r="N30" s="26"/>
      <c r="O30" s="60"/>
      <c r="P30" s="79">
        <v>0</v>
      </c>
      <c r="Q30" s="82">
        <f t="shared" si="3"/>
        <v>0</v>
      </c>
    </row>
    <row r="31" spans="1:17" s="8" customFormat="1" ht="78" customHeight="1">
      <c r="A31" s="71" t="s">
        <v>101</v>
      </c>
      <c r="B31" s="65" t="s">
        <v>23</v>
      </c>
      <c r="C31" s="59" t="s">
        <v>195</v>
      </c>
      <c r="D31" s="21" t="s">
        <v>128</v>
      </c>
      <c r="E31" s="25">
        <f t="shared" si="2"/>
        <v>11.1</v>
      </c>
      <c r="F31" s="26">
        <f>G31+H31+I31</f>
        <v>2.1</v>
      </c>
      <c r="G31" s="26">
        <v>2.1</v>
      </c>
      <c r="H31" s="26"/>
      <c r="I31" s="26"/>
      <c r="J31" s="26"/>
      <c r="K31" s="26"/>
      <c r="L31" s="26">
        <v>2.4169999999999998</v>
      </c>
      <c r="M31" s="26"/>
      <c r="N31" s="26">
        <f>9-2.417</f>
        <v>6.5830000000000002</v>
      </c>
      <c r="O31" s="60" t="s">
        <v>73</v>
      </c>
      <c r="P31" s="79">
        <v>11.1</v>
      </c>
      <c r="Q31" s="82">
        <f t="shared" si="3"/>
        <v>0</v>
      </c>
    </row>
    <row r="32" spans="1:17" s="8" customFormat="1" ht="65.25" customHeight="1">
      <c r="A32" s="71" t="s">
        <v>102</v>
      </c>
      <c r="B32" s="65" t="s">
        <v>48</v>
      </c>
      <c r="C32" s="59" t="s">
        <v>196</v>
      </c>
      <c r="D32" s="21" t="s">
        <v>128</v>
      </c>
      <c r="E32" s="25">
        <f t="shared" si="2"/>
        <v>73</v>
      </c>
      <c r="F32" s="26">
        <f>G32+H32+I32</f>
        <v>0</v>
      </c>
      <c r="G32" s="26"/>
      <c r="H32" s="26"/>
      <c r="I32" s="26"/>
      <c r="J32" s="26"/>
      <c r="K32" s="26">
        <v>0.7</v>
      </c>
      <c r="L32" s="26">
        <v>0</v>
      </c>
      <c r="M32" s="26"/>
      <c r="N32" s="26">
        <v>72.3</v>
      </c>
      <c r="O32" s="60" t="s">
        <v>24</v>
      </c>
      <c r="P32" s="79">
        <v>73</v>
      </c>
      <c r="Q32" s="82">
        <f t="shared" si="3"/>
        <v>0</v>
      </c>
    </row>
    <row r="33" spans="1:17" s="8" customFormat="1" ht="45.95" customHeight="1">
      <c r="A33" s="71"/>
      <c r="B33" s="12" t="s">
        <v>25</v>
      </c>
      <c r="C33" s="59"/>
      <c r="D33" s="21"/>
      <c r="E33" s="25">
        <f t="shared" si="2"/>
        <v>0</v>
      </c>
      <c r="F33" s="26"/>
      <c r="G33" s="26"/>
      <c r="H33" s="26"/>
      <c r="I33" s="26"/>
      <c r="J33" s="26"/>
      <c r="K33" s="26"/>
      <c r="L33" s="26"/>
      <c r="M33" s="26"/>
      <c r="N33" s="26"/>
      <c r="O33" s="60"/>
      <c r="P33" s="79">
        <v>0</v>
      </c>
      <c r="Q33" s="82">
        <f t="shared" si="3"/>
        <v>0</v>
      </c>
    </row>
    <row r="34" spans="1:17" s="8" customFormat="1" ht="111.95" customHeight="1">
      <c r="A34" s="76" t="s">
        <v>199</v>
      </c>
      <c r="B34" s="66" t="s">
        <v>259</v>
      </c>
      <c r="C34" s="68" t="s">
        <v>236</v>
      </c>
      <c r="D34" s="21" t="s">
        <v>128</v>
      </c>
      <c r="E34" s="25">
        <f t="shared" si="2"/>
        <v>53.099999999999994</v>
      </c>
      <c r="F34" s="26">
        <f>G34+H34+I34</f>
        <v>27.1</v>
      </c>
      <c r="G34" s="26">
        <v>6</v>
      </c>
      <c r="H34" s="26">
        <v>4</v>
      </c>
      <c r="I34" s="26">
        <v>17.100000000000001</v>
      </c>
      <c r="J34" s="26">
        <v>5.5</v>
      </c>
      <c r="K34" s="26">
        <v>6.8</v>
      </c>
      <c r="L34" s="26">
        <f>6+4.9</f>
        <v>10.9</v>
      </c>
      <c r="M34" s="26">
        <f>3-0.2</f>
        <v>2.8</v>
      </c>
      <c r="N34" s="26"/>
      <c r="O34" s="67" t="s">
        <v>50</v>
      </c>
      <c r="P34" s="79">
        <v>53.1</v>
      </c>
      <c r="Q34" s="82">
        <f t="shared" si="3"/>
        <v>0</v>
      </c>
    </row>
    <row r="35" spans="1:17" s="8" customFormat="1" ht="111.95" customHeight="1">
      <c r="A35" s="71" t="s">
        <v>91</v>
      </c>
      <c r="B35" s="66" t="s">
        <v>260</v>
      </c>
      <c r="C35" s="59" t="s">
        <v>236</v>
      </c>
      <c r="D35" s="21" t="s">
        <v>128</v>
      </c>
      <c r="E35" s="25">
        <f t="shared" si="2"/>
        <v>26.369</v>
      </c>
      <c r="F35" s="26">
        <f>G35+H35+I35</f>
        <v>5.4</v>
      </c>
      <c r="G35" s="26">
        <v>5.4</v>
      </c>
      <c r="H35" s="26"/>
      <c r="I35" s="26"/>
      <c r="J35" s="26">
        <v>12.7</v>
      </c>
      <c r="K35" s="26">
        <v>2.8</v>
      </c>
      <c r="L35" s="26">
        <v>0.33</v>
      </c>
      <c r="M35" s="26">
        <v>2</v>
      </c>
      <c r="N35" s="26">
        <f>2.2+1.67-0.731</f>
        <v>3.1390000000000002</v>
      </c>
      <c r="O35" s="60" t="s">
        <v>133</v>
      </c>
      <c r="P35" s="79">
        <v>27.1</v>
      </c>
      <c r="Q35" s="82">
        <f t="shared" si="3"/>
        <v>-0.73100000000000165</v>
      </c>
    </row>
    <row r="36" spans="1:17" s="8" customFormat="1" ht="110.25" customHeight="1">
      <c r="A36" s="71" t="s">
        <v>103</v>
      </c>
      <c r="B36" s="65" t="s">
        <v>219</v>
      </c>
      <c r="C36" s="59" t="s">
        <v>236</v>
      </c>
      <c r="D36" s="21" t="s">
        <v>128</v>
      </c>
      <c r="E36" s="25">
        <f t="shared" si="2"/>
        <v>32.631</v>
      </c>
      <c r="F36" s="26">
        <f>G36+H36+I36</f>
        <v>13.799999999999999</v>
      </c>
      <c r="G36" s="26">
        <v>2.4</v>
      </c>
      <c r="H36" s="26">
        <v>0.2</v>
      </c>
      <c r="I36" s="26">
        <v>11.2</v>
      </c>
      <c r="J36" s="26">
        <f>3.9+4</f>
        <v>7.9</v>
      </c>
      <c r="K36" s="26">
        <f>4.4+3</f>
        <v>7.4</v>
      </c>
      <c r="L36" s="26">
        <v>3.5310000000000001</v>
      </c>
      <c r="M36" s="26"/>
      <c r="N36" s="26"/>
      <c r="O36" s="60" t="s">
        <v>28</v>
      </c>
      <c r="P36" s="79">
        <v>31.900000000000002</v>
      </c>
      <c r="Q36" s="82">
        <f t="shared" si="3"/>
        <v>0.7309999999999981</v>
      </c>
    </row>
    <row r="37" spans="1:17" s="8" customFormat="1" ht="48" customHeight="1">
      <c r="A37" s="71" t="s">
        <v>92</v>
      </c>
      <c r="B37" s="65" t="s">
        <v>185</v>
      </c>
      <c r="C37" s="59" t="s">
        <v>238</v>
      </c>
      <c r="D37" s="21" t="s">
        <v>166</v>
      </c>
      <c r="E37" s="25">
        <f>SUM(G37:N37)</f>
        <v>3</v>
      </c>
      <c r="F37" s="26">
        <v>1</v>
      </c>
      <c r="G37" s="26"/>
      <c r="H37" s="26"/>
      <c r="I37" s="26">
        <v>1</v>
      </c>
      <c r="J37" s="26"/>
      <c r="K37" s="26"/>
      <c r="L37" s="26"/>
      <c r="M37" s="26"/>
      <c r="N37" s="26">
        <v>2</v>
      </c>
      <c r="O37" s="60" t="s">
        <v>187</v>
      </c>
      <c r="P37" s="79">
        <v>3</v>
      </c>
      <c r="Q37" s="82">
        <f t="shared" si="3"/>
        <v>0</v>
      </c>
    </row>
    <row r="38" spans="1:17" s="8" customFormat="1" ht="38.25" customHeight="1">
      <c r="A38" s="91" t="s">
        <v>104</v>
      </c>
      <c r="B38" s="93" t="s">
        <v>173</v>
      </c>
      <c r="C38" s="95" t="s">
        <v>236</v>
      </c>
      <c r="D38" s="21" t="s">
        <v>166</v>
      </c>
      <c r="E38" s="25">
        <f t="shared" si="2"/>
        <v>8.2000000000000011</v>
      </c>
      <c r="F38" s="26">
        <f>G38+H38+I38</f>
        <v>1.2000000000000002</v>
      </c>
      <c r="G38" s="26">
        <v>0.3</v>
      </c>
      <c r="H38" s="26">
        <v>0.1</v>
      </c>
      <c r="I38" s="26">
        <v>0.8</v>
      </c>
      <c r="J38" s="26">
        <v>1.6</v>
      </c>
      <c r="K38" s="26"/>
      <c r="L38" s="26"/>
      <c r="M38" s="26"/>
      <c r="N38" s="26">
        <v>5.4</v>
      </c>
      <c r="O38" s="97" t="s">
        <v>184</v>
      </c>
      <c r="P38" s="79">
        <v>8.2000000000000011</v>
      </c>
      <c r="Q38" s="82">
        <f t="shared" si="3"/>
        <v>0</v>
      </c>
    </row>
    <row r="39" spans="1:17" s="8" customFormat="1" ht="28.5" customHeight="1">
      <c r="A39" s="92"/>
      <c r="B39" s="94"/>
      <c r="C39" s="96"/>
      <c r="D39" s="21" t="s">
        <v>160</v>
      </c>
      <c r="E39" s="25">
        <f t="shared" si="2"/>
        <v>1.9</v>
      </c>
      <c r="F39" s="26"/>
      <c r="G39" s="26"/>
      <c r="H39" s="26"/>
      <c r="I39" s="26">
        <v>0.2</v>
      </c>
      <c r="J39" s="26">
        <v>0.5</v>
      </c>
      <c r="K39" s="26"/>
      <c r="L39" s="26"/>
      <c r="M39" s="26"/>
      <c r="N39" s="26">
        <v>1.2</v>
      </c>
      <c r="O39" s="98"/>
      <c r="P39" s="79">
        <v>1.9</v>
      </c>
      <c r="Q39" s="82">
        <f t="shared" si="3"/>
        <v>0</v>
      </c>
    </row>
    <row r="40" spans="1:17" s="8" customFormat="1" ht="66.75" customHeight="1">
      <c r="A40" s="71" t="s">
        <v>105</v>
      </c>
      <c r="B40" s="65" t="s">
        <v>81</v>
      </c>
      <c r="C40" s="59" t="s">
        <v>238</v>
      </c>
      <c r="D40" s="21" t="s">
        <v>128</v>
      </c>
      <c r="E40" s="25">
        <f t="shared" si="2"/>
        <v>4.5999999999999996</v>
      </c>
      <c r="F40" s="26">
        <f t="shared" ref="F40:F44" si="5">G40+H40+I40</f>
        <v>0.2</v>
      </c>
      <c r="G40" s="26"/>
      <c r="H40" s="26"/>
      <c r="I40" s="26">
        <v>0.2</v>
      </c>
      <c r="J40" s="26"/>
      <c r="K40" s="26"/>
      <c r="L40" s="26"/>
      <c r="M40" s="26">
        <v>2</v>
      </c>
      <c r="N40" s="26">
        <v>2.4</v>
      </c>
      <c r="O40" s="60" t="s">
        <v>186</v>
      </c>
      <c r="P40" s="79">
        <v>4.5999999999999996</v>
      </c>
      <c r="Q40" s="82">
        <f t="shared" si="3"/>
        <v>0</v>
      </c>
    </row>
    <row r="41" spans="1:17" s="8" customFormat="1" ht="58.7" customHeight="1">
      <c r="A41" s="71" t="s">
        <v>106</v>
      </c>
      <c r="B41" s="65" t="s">
        <v>52</v>
      </c>
      <c r="C41" s="59" t="s">
        <v>240</v>
      </c>
      <c r="D41" s="21" t="s">
        <v>128</v>
      </c>
      <c r="E41" s="25">
        <f t="shared" si="2"/>
        <v>2.9000000000000004</v>
      </c>
      <c r="F41" s="26">
        <f t="shared" si="5"/>
        <v>0.8</v>
      </c>
      <c r="G41" s="26"/>
      <c r="H41" s="26">
        <v>0.2</v>
      </c>
      <c r="I41" s="26">
        <v>0.6</v>
      </c>
      <c r="J41" s="26">
        <v>2.1</v>
      </c>
      <c r="K41" s="26"/>
      <c r="L41" s="26"/>
      <c r="M41" s="26"/>
      <c r="N41" s="26">
        <v>0</v>
      </c>
      <c r="O41" s="60" t="s">
        <v>53</v>
      </c>
      <c r="P41" s="79">
        <v>2.9000000000000004</v>
      </c>
      <c r="Q41" s="82">
        <f t="shared" si="3"/>
        <v>0</v>
      </c>
    </row>
    <row r="42" spans="1:17" s="8" customFormat="1" ht="68.25" customHeight="1">
      <c r="A42" s="71" t="s">
        <v>107</v>
      </c>
      <c r="B42" s="65" t="s">
        <v>174</v>
      </c>
      <c r="C42" s="59" t="s">
        <v>241</v>
      </c>
      <c r="D42" s="21" t="s">
        <v>128</v>
      </c>
      <c r="E42" s="25">
        <f t="shared" si="2"/>
        <v>7.7999999999999989</v>
      </c>
      <c r="F42" s="26">
        <f t="shared" si="5"/>
        <v>0</v>
      </c>
      <c r="G42" s="30"/>
      <c r="H42" s="30"/>
      <c r="I42" s="30"/>
      <c r="J42" s="26"/>
      <c r="K42" s="26">
        <v>0.4</v>
      </c>
      <c r="L42" s="26">
        <v>0</v>
      </c>
      <c r="M42" s="26">
        <v>3</v>
      </c>
      <c r="N42" s="26">
        <f>10.6-6.2</f>
        <v>4.3999999999999995</v>
      </c>
      <c r="O42" s="60" t="s">
        <v>29</v>
      </c>
      <c r="P42" s="79">
        <v>14</v>
      </c>
      <c r="Q42" s="82">
        <f t="shared" si="3"/>
        <v>-6.2000000000000011</v>
      </c>
    </row>
    <row r="43" spans="1:17" s="8" customFormat="1" ht="62.25" customHeight="1">
      <c r="A43" s="71" t="s">
        <v>108</v>
      </c>
      <c r="B43" s="65" t="s">
        <v>215</v>
      </c>
      <c r="C43" s="59" t="s">
        <v>243</v>
      </c>
      <c r="D43" s="21" t="s">
        <v>128</v>
      </c>
      <c r="E43" s="25">
        <f t="shared" si="2"/>
        <v>7.3999999999999995</v>
      </c>
      <c r="F43" s="26">
        <f t="shared" si="5"/>
        <v>0.6</v>
      </c>
      <c r="G43" s="26"/>
      <c r="H43" s="26"/>
      <c r="I43" s="26">
        <v>0.6</v>
      </c>
      <c r="J43" s="26">
        <v>6.8</v>
      </c>
      <c r="K43" s="26"/>
      <c r="L43" s="26"/>
      <c r="M43" s="26"/>
      <c r="N43" s="26"/>
      <c r="O43" s="60" t="s">
        <v>51</v>
      </c>
      <c r="P43" s="79">
        <v>7.3999999999999995</v>
      </c>
      <c r="Q43" s="82">
        <f t="shared" si="3"/>
        <v>0</v>
      </c>
    </row>
    <row r="44" spans="1:17" s="8" customFormat="1" ht="51.75" customHeight="1">
      <c r="A44" s="71" t="s">
        <v>109</v>
      </c>
      <c r="B44" s="65" t="s">
        <v>207</v>
      </c>
      <c r="C44" s="59" t="s">
        <v>241</v>
      </c>
      <c r="D44" s="21" t="s">
        <v>128</v>
      </c>
      <c r="E44" s="25">
        <f t="shared" si="2"/>
        <v>21.3</v>
      </c>
      <c r="F44" s="26">
        <f t="shared" si="5"/>
        <v>0</v>
      </c>
      <c r="G44" s="26"/>
      <c r="H44" s="26"/>
      <c r="I44" s="26"/>
      <c r="J44" s="26">
        <v>0.5</v>
      </c>
      <c r="K44" s="26">
        <v>5</v>
      </c>
      <c r="L44" s="26">
        <f>5.85+3.65</f>
        <v>9.5</v>
      </c>
      <c r="M44" s="26">
        <v>3.3</v>
      </c>
      <c r="N44" s="26">
        <v>3</v>
      </c>
      <c r="O44" s="60" t="s">
        <v>74</v>
      </c>
      <c r="P44" s="79">
        <v>15.100000000000001</v>
      </c>
      <c r="Q44" s="82">
        <f t="shared" si="3"/>
        <v>6.1999999999999993</v>
      </c>
    </row>
    <row r="45" spans="1:17" s="8" customFormat="1" ht="74.25" customHeight="1">
      <c r="A45" s="71"/>
      <c r="B45" s="12" t="s">
        <v>197</v>
      </c>
      <c r="C45" s="59"/>
      <c r="D45" s="21"/>
      <c r="E45" s="25"/>
      <c r="F45" s="26"/>
      <c r="G45" s="26"/>
      <c r="H45" s="26"/>
      <c r="I45" s="26"/>
      <c r="J45" s="26"/>
      <c r="K45" s="26"/>
      <c r="L45" s="26"/>
      <c r="M45" s="26"/>
      <c r="N45" s="26"/>
      <c r="O45" s="60"/>
      <c r="P45" s="79"/>
      <c r="Q45" s="82">
        <f t="shared" si="3"/>
        <v>0</v>
      </c>
    </row>
    <row r="46" spans="1:17" s="8" customFormat="1" ht="22.7" customHeight="1">
      <c r="A46" s="72"/>
      <c r="B46" s="13" t="s">
        <v>208</v>
      </c>
      <c r="C46" s="59"/>
      <c r="D46" s="21"/>
      <c r="E46" s="25"/>
      <c r="F46" s="26"/>
      <c r="G46" s="26"/>
      <c r="H46" s="26"/>
      <c r="I46" s="26"/>
      <c r="J46" s="26"/>
      <c r="K46" s="26"/>
      <c r="L46" s="26"/>
      <c r="M46" s="26"/>
      <c r="N46" s="26"/>
      <c r="O46" s="60"/>
      <c r="P46" s="79"/>
      <c r="Q46" s="82">
        <f t="shared" si="3"/>
        <v>0</v>
      </c>
    </row>
    <row r="47" spans="1:17" s="8" customFormat="1" ht="60.75" customHeight="1">
      <c r="A47" s="91" t="s">
        <v>110</v>
      </c>
      <c r="B47" s="93" t="s">
        <v>178</v>
      </c>
      <c r="C47" s="59" t="s">
        <v>236</v>
      </c>
      <c r="D47" s="21" t="s">
        <v>128</v>
      </c>
      <c r="E47" s="25">
        <f t="shared" si="2"/>
        <v>24.27</v>
      </c>
      <c r="F47" s="26">
        <f>G47+H47+I47</f>
        <v>10.7</v>
      </c>
      <c r="G47" s="26">
        <v>3.1</v>
      </c>
      <c r="H47" s="26">
        <v>5.6</v>
      </c>
      <c r="I47" s="26">
        <v>2</v>
      </c>
      <c r="J47" s="26">
        <v>3.6</v>
      </c>
      <c r="K47" s="26">
        <v>2.2000000000000002</v>
      </c>
      <c r="L47" s="26">
        <v>1.9</v>
      </c>
      <c r="M47" s="26">
        <v>3.1</v>
      </c>
      <c r="N47" s="26">
        <f>4+1.2-2.43</f>
        <v>2.77</v>
      </c>
      <c r="O47" s="60" t="s">
        <v>31</v>
      </c>
      <c r="P47" s="79">
        <v>26.700000000000003</v>
      </c>
      <c r="Q47" s="82">
        <f t="shared" si="3"/>
        <v>-2.4300000000000033</v>
      </c>
    </row>
    <row r="48" spans="1:17" s="8" customFormat="1" ht="42.75" customHeight="1">
      <c r="A48" s="92"/>
      <c r="B48" s="94"/>
      <c r="C48" s="59" t="s">
        <v>239</v>
      </c>
      <c r="D48" s="21" t="s">
        <v>44</v>
      </c>
      <c r="E48" s="25">
        <f t="shared" si="2"/>
        <v>109.30000000000001</v>
      </c>
      <c r="F48" s="26">
        <f>G48+H48+I48</f>
        <v>83.7</v>
      </c>
      <c r="G48" s="26">
        <v>23.9</v>
      </c>
      <c r="H48" s="26">
        <v>30.3</v>
      </c>
      <c r="I48" s="26">
        <v>29.5</v>
      </c>
      <c r="J48" s="26">
        <v>25.6</v>
      </c>
      <c r="K48" s="26"/>
      <c r="L48" s="26"/>
      <c r="M48" s="26"/>
      <c r="N48" s="26"/>
      <c r="O48" s="60"/>
      <c r="P48" s="79">
        <v>109.30000000000001</v>
      </c>
      <c r="Q48" s="82">
        <f t="shared" si="3"/>
        <v>0</v>
      </c>
    </row>
    <row r="49" spans="1:17" s="8" customFormat="1" ht="63.75">
      <c r="A49" s="71" t="s">
        <v>111</v>
      </c>
      <c r="B49" s="65" t="s">
        <v>30</v>
      </c>
      <c r="C49" s="59" t="s">
        <v>244</v>
      </c>
      <c r="D49" s="21" t="s">
        <v>44</v>
      </c>
      <c r="E49" s="25">
        <f t="shared" si="2"/>
        <v>27.2</v>
      </c>
      <c r="F49" s="26">
        <f>G49+H49+I49</f>
        <v>16.2</v>
      </c>
      <c r="G49" s="26">
        <v>1</v>
      </c>
      <c r="H49" s="26">
        <v>1.5</v>
      </c>
      <c r="I49" s="26">
        <v>13.7</v>
      </c>
      <c r="J49" s="26">
        <v>2.5</v>
      </c>
      <c r="K49" s="26"/>
      <c r="L49" s="26"/>
      <c r="M49" s="26">
        <v>5.5</v>
      </c>
      <c r="N49" s="26">
        <f>3</f>
        <v>3</v>
      </c>
      <c r="O49" s="60" t="s">
        <v>32</v>
      </c>
      <c r="P49" s="79">
        <v>27.2</v>
      </c>
      <c r="Q49" s="82">
        <f t="shared" si="3"/>
        <v>0</v>
      </c>
    </row>
    <row r="50" spans="1:17" s="8" customFormat="1" ht="55.5" customHeight="1">
      <c r="A50" s="71" t="s">
        <v>112</v>
      </c>
      <c r="B50" s="65" t="s">
        <v>258</v>
      </c>
      <c r="C50" s="59" t="s">
        <v>244</v>
      </c>
      <c r="D50" s="21" t="s">
        <v>128</v>
      </c>
      <c r="E50" s="25">
        <f t="shared" si="2"/>
        <v>16.23</v>
      </c>
      <c r="F50" s="26">
        <f>G50+H50+I50</f>
        <v>1.4</v>
      </c>
      <c r="G50" s="26">
        <v>0.5</v>
      </c>
      <c r="H50" s="26">
        <v>0.5</v>
      </c>
      <c r="I50" s="26">
        <v>0.4</v>
      </c>
      <c r="J50" s="26">
        <v>4.5</v>
      </c>
      <c r="K50" s="26">
        <v>1.3</v>
      </c>
      <c r="L50" s="26">
        <f>1.5+5.43</f>
        <v>6.93</v>
      </c>
      <c r="M50" s="26">
        <f>1.5</f>
        <v>1.5</v>
      </c>
      <c r="N50" s="26">
        <f>2.6-2</f>
        <v>0.60000000000000009</v>
      </c>
      <c r="O50" s="60" t="s">
        <v>31</v>
      </c>
      <c r="P50" s="79">
        <v>13.799999999999999</v>
      </c>
      <c r="Q50" s="82">
        <f>E50-P50</f>
        <v>2.4300000000000015</v>
      </c>
    </row>
    <row r="51" spans="1:17" s="8" customFormat="1" ht="37.5" customHeight="1">
      <c r="A51" s="73"/>
      <c r="B51" s="12" t="s">
        <v>90</v>
      </c>
      <c r="C51" s="59"/>
      <c r="D51" s="21"/>
      <c r="E51" s="25"/>
      <c r="F51" s="26"/>
      <c r="G51" s="26"/>
      <c r="H51" s="26"/>
      <c r="I51" s="26"/>
      <c r="J51" s="26"/>
      <c r="K51" s="26"/>
      <c r="L51" s="26"/>
      <c r="M51" s="26"/>
      <c r="N51" s="26"/>
      <c r="O51" s="60"/>
      <c r="P51" s="79"/>
      <c r="Q51" s="82">
        <f t="shared" si="3"/>
        <v>0</v>
      </c>
    </row>
    <row r="52" spans="1:17" s="8" customFormat="1" ht="49.7" customHeight="1">
      <c r="A52" s="71" t="s">
        <v>113</v>
      </c>
      <c r="B52" s="65" t="s">
        <v>171</v>
      </c>
      <c r="C52" s="59" t="s">
        <v>247</v>
      </c>
      <c r="D52" s="21" t="s">
        <v>128</v>
      </c>
      <c r="E52" s="25">
        <f t="shared" si="2"/>
        <v>3</v>
      </c>
      <c r="F52" s="26">
        <f t="shared" ref="F52:F58" si="6">G52+H52+I52</f>
        <v>0</v>
      </c>
      <c r="G52" s="26"/>
      <c r="H52" s="26"/>
      <c r="I52" s="26"/>
      <c r="J52" s="26"/>
      <c r="K52" s="26"/>
      <c r="L52" s="26"/>
      <c r="M52" s="26"/>
      <c r="N52" s="26">
        <v>3</v>
      </c>
      <c r="O52" s="60" t="s">
        <v>33</v>
      </c>
      <c r="P52" s="79">
        <v>3</v>
      </c>
      <c r="Q52" s="82">
        <f t="shared" si="3"/>
        <v>0</v>
      </c>
    </row>
    <row r="53" spans="1:17" s="8" customFormat="1" ht="66" customHeight="1">
      <c r="A53" s="71" t="s">
        <v>114</v>
      </c>
      <c r="B53" s="65" t="s">
        <v>190</v>
      </c>
      <c r="C53" s="59" t="s">
        <v>236</v>
      </c>
      <c r="D53" s="21" t="s">
        <v>128</v>
      </c>
      <c r="E53" s="25">
        <f t="shared" si="2"/>
        <v>6.9</v>
      </c>
      <c r="F53" s="26">
        <f t="shared" si="6"/>
        <v>3.4</v>
      </c>
      <c r="G53" s="26">
        <v>0.6</v>
      </c>
      <c r="H53" s="26">
        <v>0.9</v>
      </c>
      <c r="I53" s="26">
        <v>1.9</v>
      </c>
      <c r="J53" s="26">
        <v>1.5</v>
      </c>
      <c r="K53" s="26"/>
      <c r="L53" s="26"/>
      <c r="M53" s="26">
        <v>1</v>
      </c>
      <c r="N53" s="26">
        <v>1</v>
      </c>
      <c r="O53" s="60" t="s">
        <v>33</v>
      </c>
      <c r="P53" s="79">
        <v>6.9</v>
      </c>
      <c r="Q53" s="82">
        <f t="shared" si="3"/>
        <v>0</v>
      </c>
    </row>
    <row r="54" spans="1:17" s="8" customFormat="1" ht="52.5" customHeight="1">
      <c r="A54" s="71" t="s">
        <v>115</v>
      </c>
      <c r="B54" s="65" t="s">
        <v>191</v>
      </c>
      <c r="C54" s="59" t="s">
        <v>241</v>
      </c>
      <c r="D54" s="21" t="s">
        <v>128</v>
      </c>
      <c r="E54" s="25">
        <f t="shared" si="2"/>
        <v>3</v>
      </c>
      <c r="F54" s="26">
        <f t="shared" si="6"/>
        <v>0</v>
      </c>
      <c r="G54" s="26"/>
      <c r="H54" s="26"/>
      <c r="I54" s="26"/>
      <c r="J54" s="26"/>
      <c r="K54" s="26"/>
      <c r="L54" s="26"/>
      <c r="M54" s="26">
        <v>1</v>
      </c>
      <c r="N54" s="26">
        <v>2</v>
      </c>
      <c r="O54" s="60" t="s">
        <v>34</v>
      </c>
      <c r="P54" s="79">
        <v>3</v>
      </c>
      <c r="Q54" s="82">
        <f t="shared" si="3"/>
        <v>0</v>
      </c>
    </row>
    <row r="55" spans="1:17" s="8" customFormat="1" ht="51" customHeight="1">
      <c r="A55" s="71" t="s">
        <v>116</v>
      </c>
      <c r="B55" s="65" t="s">
        <v>192</v>
      </c>
      <c r="C55" s="59" t="s">
        <v>246</v>
      </c>
      <c r="D55" s="21" t="s">
        <v>128</v>
      </c>
      <c r="E55" s="25">
        <f t="shared" si="2"/>
        <v>35.469000000000001</v>
      </c>
      <c r="F55" s="26">
        <f t="shared" si="6"/>
        <v>8.5</v>
      </c>
      <c r="G55" s="26"/>
      <c r="H55" s="26">
        <v>6.9</v>
      </c>
      <c r="I55" s="26">
        <v>1.6</v>
      </c>
      <c r="J55" s="26">
        <v>11.2</v>
      </c>
      <c r="K55" s="26">
        <v>8.1999999999999993</v>
      </c>
      <c r="L55" s="26">
        <f>4.728+2.841</f>
        <v>7.569</v>
      </c>
      <c r="M55" s="26"/>
      <c r="N55" s="26"/>
      <c r="O55" s="60" t="s">
        <v>34</v>
      </c>
      <c r="P55" s="79">
        <v>27.9</v>
      </c>
      <c r="Q55" s="82">
        <f t="shared" si="3"/>
        <v>7.5690000000000026</v>
      </c>
    </row>
    <row r="56" spans="1:17" s="8" customFormat="1" ht="66.75" customHeight="1">
      <c r="A56" s="71" t="s">
        <v>117</v>
      </c>
      <c r="B56" s="65" t="s">
        <v>216</v>
      </c>
      <c r="C56" s="59" t="s">
        <v>236</v>
      </c>
      <c r="D56" s="21" t="s">
        <v>128</v>
      </c>
      <c r="E56" s="25">
        <f>SUM(G56:N56)</f>
        <v>61.430587000000003</v>
      </c>
      <c r="F56" s="26">
        <f t="shared" si="6"/>
        <v>0.7</v>
      </c>
      <c r="G56" s="26">
        <v>0.1</v>
      </c>
      <c r="H56" s="26">
        <v>0.6</v>
      </c>
      <c r="I56" s="26">
        <v>0</v>
      </c>
      <c r="J56" s="26">
        <v>10.9</v>
      </c>
      <c r="K56" s="29">
        <v>16.399999999999999</v>
      </c>
      <c r="L56" s="26">
        <f>17.594587</f>
        <v>17.594587000000001</v>
      </c>
      <c r="M56" s="26">
        <f>10.5+7.405-7.569</f>
        <v>10.336000000000002</v>
      </c>
      <c r="N56" s="26">
        <v>5.5</v>
      </c>
      <c r="O56" s="60" t="s">
        <v>75</v>
      </c>
      <c r="P56" s="79">
        <v>69</v>
      </c>
      <c r="Q56" s="82">
        <f t="shared" si="3"/>
        <v>-7.5694129999999973</v>
      </c>
    </row>
    <row r="57" spans="1:17" s="8" customFormat="1" ht="58.7" customHeight="1">
      <c r="A57" s="71" t="s">
        <v>118</v>
      </c>
      <c r="B57" s="65" t="s">
        <v>63</v>
      </c>
      <c r="C57" s="59" t="s">
        <v>245</v>
      </c>
      <c r="D57" s="21" t="s">
        <v>128</v>
      </c>
      <c r="E57" s="25">
        <f t="shared" si="2"/>
        <v>3</v>
      </c>
      <c r="F57" s="26">
        <f t="shared" si="6"/>
        <v>0</v>
      </c>
      <c r="G57" s="26"/>
      <c r="H57" s="26"/>
      <c r="I57" s="26"/>
      <c r="J57" s="26"/>
      <c r="K57" s="26"/>
      <c r="L57" s="26"/>
      <c r="M57" s="26">
        <v>1</v>
      </c>
      <c r="N57" s="26">
        <v>2</v>
      </c>
      <c r="O57" s="60" t="s">
        <v>34</v>
      </c>
      <c r="P57" s="79">
        <v>3</v>
      </c>
      <c r="Q57" s="82">
        <f t="shared" si="3"/>
        <v>0</v>
      </c>
    </row>
    <row r="58" spans="1:17" s="8" customFormat="1" ht="51">
      <c r="A58" s="71" t="s">
        <v>119</v>
      </c>
      <c r="B58" s="65" t="s">
        <v>220</v>
      </c>
      <c r="C58" s="59" t="s">
        <v>236</v>
      </c>
      <c r="D58" s="21" t="s">
        <v>128</v>
      </c>
      <c r="E58" s="25">
        <f t="shared" si="2"/>
        <v>29.4</v>
      </c>
      <c r="F58" s="26">
        <f t="shared" si="6"/>
        <v>5</v>
      </c>
      <c r="G58" s="26">
        <v>3.3</v>
      </c>
      <c r="H58" s="26">
        <v>0.6</v>
      </c>
      <c r="I58" s="26">
        <v>1.1000000000000001</v>
      </c>
      <c r="J58" s="26">
        <v>0.4</v>
      </c>
      <c r="K58" s="26">
        <v>1.5</v>
      </c>
      <c r="L58" s="26">
        <v>1.1859999999999999</v>
      </c>
      <c r="M58" s="26">
        <f>8-0.186</f>
        <v>7.8140000000000001</v>
      </c>
      <c r="N58" s="26">
        <v>13.5</v>
      </c>
      <c r="O58" s="60" t="s">
        <v>76</v>
      </c>
      <c r="P58" s="79">
        <v>29.4</v>
      </c>
      <c r="Q58" s="82">
        <f t="shared" si="3"/>
        <v>0</v>
      </c>
    </row>
    <row r="59" spans="1:17" s="8" customFormat="1" ht="90" customHeight="1">
      <c r="A59" s="71" t="s">
        <v>120</v>
      </c>
      <c r="B59" s="65" t="s">
        <v>221</v>
      </c>
      <c r="C59" s="59" t="s">
        <v>255</v>
      </c>
      <c r="D59" s="21" t="s">
        <v>128</v>
      </c>
      <c r="E59" s="25">
        <f t="shared" si="2"/>
        <v>20</v>
      </c>
      <c r="F59" s="26">
        <f>G59+H59+I59</f>
        <v>0</v>
      </c>
      <c r="G59" s="26"/>
      <c r="H59" s="26"/>
      <c r="I59" s="26"/>
      <c r="J59" s="26"/>
      <c r="K59" s="26"/>
      <c r="L59" s="26">
        <f>4.41+0.24</f>
        <v>4.6500000000000004</v>
      </c>
      <c r="M59" s="26">
        <f>5+0.85</f>
        <v>5.85</v>
      </c>
      <c r="N59" s="26">
        <v>9.5</v>
      </c>
      <c r="O59" s="60" t="s">
        <v>170</v>
      </c>
      <c r="P59" s="79">
        <v>20</v>
      </c>
      <c r="Q59" s="82">
        <f t="shared" si="3"/>
        <v>0</v>
      </c>
    </row>
    <row r="60" spans="1:17" s="8" customFormat="1" ht="34.5" customHeight="1">
      <c r="A60" s="71"/>
      <c r="B60" s="12" t="s">
        <v>35</v>
      </c>
      <c r="C60" s="59"/>
      <c r="D60" s="21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60"/>
      <c r="P60" s="79"/>
      <c r="Q60" s="82">
        <f t="shared" si="3"/>
        <v>0</v>
      </c>
    </row>
    <row r="61" spans="1:17" s="8" customFormat="1" ht="39" customHeight="1">
      <c r="A61" s="72" t="s">
        <v>200</v>
      </c>
      <c r="B61" s="53" t="s">
        <v>202</v>
      </c>
      <c r="C61" s="54" t="s">
        <v>255</v>
      </c>
      <c r="D61" s="21" t="s">
        <v>128</v>
      </c>
      <c r="E61" s="25">
        <f t="shared" si="2"/>
        <v>8</v>
      </c>
      <c r="F61" s="26">
        <f t="shared" ref="F61:F69" si="7">G61+H61+I61</f>
        <v>0</v>
      </c>
      <c r="G61" s="26"/>
      <c r="H61" s="26"/>
      <c r="I61" s="26"/>
      <c r="J61" s="26"/>
      <c r="K61" s="26">
        <v>0.6</v>
      </c>
      <c r="L61" s="26">
        <v>0.05</v>
      </c>
      <c r="M61" s="26"/>
      <c r="N61" s="26">
        <f>4.4+2.95</f>
        <v>7.3500000000000005</v>
      </c>
      <c r="O61" s="56" t="s">
        <v>36</v>
      </c>
      <c r="P61" s="79">
        <v>8</v>
      </c>
      <c r="Q61" s="82">
        <f t="shared" si="3"/>
        <v>0</v>
      </c>
    </row>
    <row r="62" spans="1:17" s="8" customFormat="1" ht="52.5" customHeight="1">
      <c r="A62" s="71" t="s">
        <v>121</v>
      </c>
      <c r="B62" s="65" t="s">
        <v>228</v>
      </c>
      <c r="C62" s="59" t="s">
        <v>240</v>
      </c>
      <c r="D62" s="21" t="s">
        <v>128</v>
      </c>
      <c r="E62" s="25">
        <f t="shared" si="2"/>
        <v>16.100000000000001</v>
      </c>
      <c r="F62" s="26">
        <f t="shared" si="7"/>
        <v>1.6</v>
      </c>
      <c r="G62" s="26"/>
      <c r="H62" s="26">
        <v>1.6</v>
      </c>
      <c r="I62" s="26"/>
      <c r="J62" s="26"/>
      <c r="K62" s="26">
        <v>0.2</v>
      </c>
      <c r="L62" s="26">
        <f>4.102+0.802</f>
        <v>4.9039999999999999</v>
      </c>
      <c r="M62" s="26">
        <v>5</v>
      </c>
      <c r="N62" s="26">
        <f>9.3-4.904</f>
        <v>4.3960000000000008</v>
      </c>
      <c r="O62" s="60" t="s">
        <v>36</v>
      </c>
      <c r="P62" s="79">
        <v>16.100000000000001</v>
      </c>
      <c r="Q62" s="82">
        <f t="shared" si="3"/>
        <v>0</v>
      </c>
    </row>
    <row r="63" spans="1:17" s="8" customFormat="1" ht="41.25" customHeight="1">
      <c r="A63" s="91" t="s">
        <v>122</v>
      </c>
      <c r="B63" s="93" t="s">
        <v>222</v>
      </c>
      <c r="C63" s="95" t="s">
        <v>248</v>
      </c>
      <c r="D63" s="21" t="s">
        <v>128</v>
      </c>
      <c r="E63" s="25">
        <f t="shared" si="2"/>
        <v>1.8</v>
      </c>
      <c r="F63" s="26">
        <f t="shared" si="7"/>
        <v>0</v>
      </c>
      <c r="G63" s="26"/>
      <c r="H63" s="26"/>
      <c r="I63" s="26"/>
      <c r="J63" s="26">
        <v>1</v>
      </c>
      <c r="K63" s="26">
        <v>0.6</v>
      </c>
      <c r="L63" s="26">
        <v>0.16400000000000001</v>
      </c>
      <c r="M63" s="26">
        <v>3.5999999999999997E-2</v>
      </c>
      <c r="N63" s="26"/>
      <c r="O63" s="97" t="s">
        <v>225</v>
      </c>
      <c r="P63" s="79">
        <v>1.8</v>
      </c>
      <c r="Q63" s="82">
        <f t="shared" si="3"/>
        <v>0</v>
      </c>
    </row>
    <row r="64" spans="1:17" s="8" customFormat="1" ht="46.5" customHeight="1">
      <c r="A64" s="92"/>
      <c r="B64" s="94"/>
      <c r="C64" s="96"/>
      <c r="D64" s="21" t="s">
        <v>44</v>
      </c>
      <c r="E64" s="25">
        <f t="shared" ref="E64" si="8">SUM(G64:N64)</f>
        <v>5</v>
      </c>
      <c r="F64" s="26"/>
      <c r="G64" s="26"/>
      <c r="H64" s="26"/>
      <c r="I64" s="26"/>
      <c r="J64" s="26"/>
      <c r="K64" s="26">
        <v>5</v>
      </c>
      <c r="L64" s="26"/>
      <c r="M64" s="26"/>
      <c r="N64" s="26"/>
      <c r="O64" s="98"/>
      <c r="P64" s="79">
        <v>5</v>
      </c>
      <c r="Q64" s="82">
        <f t="shared" si="3"/>
        <v>0</v>
      </c>
    </row>
    <row r="65" spans="1:17" s="8" customFormat="1" ht="42" customHeight="1">
      <c r="A65" s="71" t="s">
        <v>123</v>
      </c>
      <c r="B65" s="65" t="s">
        <v>205</v>
      </c>
      <c r="C65" s="59" t="s">
        <v>237</v>
      </c>
      <c r="D65" s="21" t="s">
        <v>128</v>
      </c>
      <c r="E65" s="25">
        <f>SUM(G65:N65)</f>
        <v>4</v>
      </c>
      <c r="F65" s="26">
        <f>G65+H65+I65</f>
        <v>0</v>
      </c>
      <c r="G65" s="26"/>
      <c r="H65" s="26"/>
      <c r="I65" s="26"/>
      <c r="J65" s="26"/>
      <c r="K65" s="26"/>
      <c r="L65" s="26"/>
      <c r="M65" s="26"/>
      <c r="N65" s="26">
        <v>4</v>
      </c>
      <c r="O65" s="60" t="s">
        <v>37</v>
      </c>
      <c r="P65" s="79">
        <v>4</v>
      </c>
      <c r="Q65" s="82">
        <f t="shared" si="3"/>
        <v>0</v>
      </c>
    </row>
    <row r="66" spans="1:17" s="8" customFormat="1" ht="52.5" customHeight="1">
      <c r="A66" s="71" t="s">
        <v>124</v>
      </c>
      <c r="B66" s="66" t="s">
        <v>261</v>
      </c>
      <c r="C66" s="59" t="s">
        <v>236</v>
      </c>
      <c r="D66" s="21" t="s">
        <v>128</v>
      </c>
      <c r="E66" s="25">
        <f>SUM(G66:N66)</f>
        <v>13.636000000000001</v>
      </c>
      <c r="F66" s="26">
        <f>G66+H66+I66</f>
        <v>5.7</v>
      </c>
      <c r="G66" s="26">
        <v>0.5</v>
      </c>
      <c r="H66" s="26">
        <v>0.2</v>
      </c>
      <c r="I66" s="26">
        <v>5</v>
      </c>
      <c r="J66" s="26">
        <v>0.5</v>
      </c>
      <c r="K66" s="26">
        <v>0.9</v>
      </c>
      <c r="L66" s="26">
        <v>0.33</v>
      </c>
      <c r="M66" s="26">
        <f>1.7+0.67</f>
        <v>2.37</v>
      </c>
      <c r="N66" s="26">
        <f>4.9-1.064</f>
        <v>3.8360000000000003</v>
      </c>
      <c r="O66" s="60" t="s">
        <v>77</v>
      </c>
      <c r="P66" s="79">
        <v>14.700000000000001</v>
      </c>
      <c r="Q66" s="82">
        <f t="shared" si="3"/>
        <v>-1.0640000000000001</v>
      </c>
    </row>
    <row r="67" spans="1:17" s="8" customFormat="1" ht="46.5" customHeight="1">
      <c r="A67" s="71" t="s">
        <v>161</v>
      </c>
      <c r="B67" s="65" t="s">
        <v>223</v>
      </c>
      <c r="C67" s="59" t="s">
        <v>249</v>
      </c>
      <c r="D67" s="21" t="s">
        <v>128</v>
      </c>
      <c r="E67" s="25">
        <f t="shared" si="2"/>
        <v>2.6639999999999997</v>
      </c>
      <c r="F67" s="26">
        <f>G67+H67+I67</f>
        <v>1.4</v>
      </c>
      <c r="G67" s="26">
        <v>1.4</v>
      </c>
      <c r="H67" s="26"/>
      <c r="I67" s="26"/>
      <c r="J67" s="26"/>
      <c r="K67" s="26">
        <v>0.2</v>
      </c>
      <c r="L67" s="26">
        <v>1.0640000000000001</v>
      </c>
      <c r="M67" s="26"/>
      <c r="N67" s="26"/>
      <c r="O67" s="60" t="s">
        <v>162</v>
      </c>
      <c r="P67" s="79">
        <v>1.5999999999999999</v>
      </c>
      <c r="Q67" s="82">
        <f t="shared" si="3"/>
        <v>1.0639999999999998</v>
      </c>
    </row>
    <row r="68" spans="1:17" s="8" customFormat="1" ht="43.5" customHeight="1">
      <c r="A68" s="71" t="s">
        <v>163</v>
      </c>
      <c r="B68" s="65" t="s">
        <v>203</v>
      </c>
      <c r="C68" s="59" t="s">
        <v>250</v>
      </c>
      <c r="D68" s="21" t="s">
        <v>128</v>
      </c>
      <c r="E68" s="25">
        <f t="shared" si="2"/>
        <v>2.1999999999999997</v>
      </c>
      <c r="F68" s="26"/>
      <c r="G68" s="26"/>
      <c r="H68" s="26"/>
      <c r="I68" s="26"/>
      <c r="J68" s="26">
        <v>1.4</v>
      </c>
      <c r="K68" s="26">
        <v>0.2</v>
      </c>
      <c r="L68" s="26">
        <v>0.159</v>
      </c>
      <c r="M68" s="26">
        <v>0.2</v>
      </c>
      <c r="N68" s="26">
        <f>0.24+0.001</f>
        <v>0.24099999999999999</v>
      </c>
      <c r="O68" s="60" t="s">
        <v>162</v>
      </c>
      <c r="P68" s="79">
        <v>2.2000000000000002</v>
      </c>
      <c r="Q68" s="82">
        <f t="shared" si="3"/>
        <v>0</v>
      </c>
    </row>
    <row r="69" spans="1:17" s="8" customFormat="1" ht="43.5" customHeight="1">
      <c r="A69" s="71" t="s">
        <v>211</v>
      </c>
      <c r="B69" s="65" t="s">
        <v>204</v>
      </c>
      <c r="C69" s="59" t="s">
        <v>240</v>
      </c>
      <c r="D69" s="21" t="s">
        <v>128</v>
      </c>
      <c r="E69" s="25">
        <f t="shared" si="2"/>
        <v>17.8</v>
      </c>
      <c r="F69" s="26">
        <f t="shared" si="7"/>
        <v>0.60000000000000009</v>
      </c>
      <c r="G69" s="26"/>
      <c r="H69" s="26">
        <v>0.2</v>
      </c>
      <c r="I69" s="26">
        <v>0.4</v>
      </c>
      <c r="J69" s="26">
        <v>0.8</v>
      </c>
      <c r="K69" s="26">
        <v>0.1</v>
      </c>
      <c r="L69" s="26">
        <f>0.546+0.55</f>
        <v>1.0960000000000001</v>
      </c>
      <c r="M69" s="26">
        <v>2</v>
      </c>
      <c r="N69" s="26">
        <f>12.3+0.904</f>
        <v>13.204000000000001</v>
      </c>
      <c r="O69" s="60" t="s">
        <v>162</v>
      </c>
      <c r="P69" s="79">
        <v>17.8</v>
      </c>
      <c r="Q69" s="82">
        <f t="shared" si="3"/>
        <v>0</v>
      </c>
    </row>
    <row r="70" spans="1:17" s="8" customFormat="1" ht="35.25" customHeight="1">
      <c r="A70" s="72"/>
      <c r="B70" s="12" t="s">
        <v>209</v>
      </c>
      <c r="C70" s="54"/>
      <c r="D70" s="21"/>
      <c r="E70" s="25"/>
      <c r="F70" s="26"/>
      <c r="G70" s="26"/>
      <c r="H70" s="26"/>
      <c r="I70" s="26"/>
      <c r="J70" s="26"/>
      <c r="K70" s="26"/>
      <c r="L70" s="26"/>
      <c r="M70" s="26"/>
      <c r="N70" s="26"/>
      <c r="O70" s="60"/>
      <c r="P70" s="79"/>
      <c r="Q70" s="82">
        <f t="shared" si="3"/>
        <v>0</v>
      </c>
    </row>
    <row r="71" spans="1:17" s="8" customFormat="1" ht="51.75" customHeight="1">
      <c r="A71" s="71" t="s">
        <v>210</v>
      </c>
      <c r="B71" s="65" t="s">
        <v>188</v>
      </c>
      <c r="C71" s="59" t="s">
        <v>248</v>
      </c>
      <c r="D71" s="21" t="s">
        <v>128</v>
      </c>
      <c r="E71" s="25">
        <f>SUM(G71:N71)</f>
        <v>6.1</v>
      </c>
      <c r="F71" s="26"/>
      <c r="G71" s="26"/>
      <c r="H71" s="26"/>
      <c r="I71" s="26"/>
      <c r="J71" s="26">
        <v>1.8</v>
      </c>
      <c r="K71" s="26"/>
      <c r="L71" s="26">
        <v>0.25</v>
      </c>
      <c r="M71" s="26">
        <v>1.4</v>
      </c>
      <c r="N71" s="26">
        <f>1.5+1.15</f>
        <v>2.65</v>
      </c>
      <c r="O71" s="60" t="s">
        <v>189</v>
      </c>
      <c r="P71" s="79">
        <v>6.1</v>
      </c>
      <c r="Q71" s="82">
        <f t="shared" si="3"/>
        <v>0</v>
      </c>
    </row>
    <row r="72" spans="1:17" s="8" customFormat="1" ht="54" customHeight="1">
      <c r="A72" s="72"/>
      <c r="B72" s="61" t="s">
        <v>134</v>
      </c>
      <c r="C72" s="54"/>
      <c r="D72" s="19" t="s">
        <v>27</v>
      </c>
      <c r="E72" s="31">
        <f t="shared" ref="E72:E77" si="9">SUM(G72:M72)</f>
        <v>390.10000000000008</v>
      </c>
      <c r="F72" s="31">
        <f>SUM(G72:I72)</f>
        <v>51.8</v>
      </c>
      <c r="G72" s="31">
        <f>G73+G74</f>
        <v>5</v>
      </c>
      <c r="H72" s="31">
        <f t="shared" ref="H72:N72" si="10">H73+H74</f>
        <v>0</v>
      </c>
      <c r="I72" s="31">
        <f t="shared" si="10"/>
        <v>46.8</v>
      </c>
      <c r="J72" s="31">
        <f t="shared" si="10"/>
        <v>91.5</v>
      </c>
      <c r="K72" s="31">
        <f t="shared" si="10"/>
        <v>85.100000000000009</v>
      </c>
      <c r="L72" s="31">
        <f t="shared" si="10"/>
        <v>67.900000000000006</v>
      </c>
      <c r="M72" s="31">
        <f t="shared" si="10"/>
        <v>93.8</v>
      </c>
      <c r="N72" s="31">
        <f t="shared" si="10"/>
        <v>0</v>
      </c>
      <c r="O72" s="113"/>
      <c r="P72" s="79">
        <v>390.10000000000008</v>
      </c>
      <c r="Q72" s="82">
        <f t="shared" si="3"/>
        <v>0</v>
      </c>
    </row>
    <row r="73" spans="1:17" s="8" customFormat="1" ht="24.75" customHeight="1">
      <c r="A73" s="74"/>
      <c r="B73" s="62"/>
      <c r="C73" s="63"/>
      <c r="D73" s="19" t="s">
        <v>128</v>
      </c>
      <c r="E73" s="31">
        <f t="shared" si="9"/>
        <v>98.699999999999989</v>
      </c>
      <c r="F73" s="31">
        <f>SUM(G73:I73)</f>
        <v>11.8</v>
      </c>
      <c r="G73" s="31">
        <f>G76+G83</f>
        <v>5</v>
      </c>
      <c r="H73" s="31">
        <f t="shared" ref="H73:N73" si="11">H76+H82</f>
        <v>0</v>
      </c>
      <c r="I73" s="31">
        <f t="shared" si="11"/>
        <v>6.8</v>
      </c>
      <c r="J73" s="31">
        <f t="shared" si="11"/>
        <v>25</v>
      </c>
      <c r="K73" s="31">
        <f>K76+K82</f>
        <v>16.700000000000003</v>
      </c>
      <c r="L73" s="31">
        <f t="shared" si="11"/>
        <v>7.9</v>
      </c>
      <c r="M73" s="31">
        <f t="shared" si="11"/>
        <v>37.299999999999997</v>
      </c>
      <c r="N73" s="31">
        <f t="shared" si="11"/>
        <v>0</v>
      </c>
      <c r="O73" s="113"/>
      <c r="P73" s="79">
        <v>98.7</v>
      </c>
      <c r="Q73" s="82">
        <f t="shared" si="3"/>
        <v>0</v>
      </c>
    </row>
    <row r="74" spans="1:17" s="8" customFormat="1" ht="24.75" customHeight="1">
      <c r="A74" s="75"/>
      <c r="B74" s="64"/>
      <c r="C74" s="55"/>
      <c r="D74" s="19" t="s">
        <v>44</v>
      </c>
      <c r="E74" s="31">
        <f t="shared" si="9"/>
        <v>291.39999999999998</v>
      </c>
      <c r="F74" s="31">
        <f>SUM(G74:I74)</f>
        <v>40</v>
      </c>
      <c r="G74" s="31">
        <f>G77+G84</f>
        <v>0</v>
      </c>
      <c r="H74" s="31">
        <f t="shared" ref="H74:N74" si="12">H77+H84</f>
        <v>0</v>
      </c>
      <c r="I74" s="31">
        <f t="shared" si="12"/>
        <v>40</v>
      </c>
      <c r="J74" s="31">
        <f t="shared" si="12"/>
        <v>66.5</v>
      </c>
      <c r="K74" s="31">
        <f t="shared" si="12"/>
        <v>68.400000000000006</v>
      </c>
      <c r="L74" s="31">
        <f t="shared" si="12"/>
        <v>60</v>
      </c>
      <c r="M74" s="31">
        <f t="shared" si="12"/>
        <v>56.5</v>
      </c>
      <c r="N74" s="31">
        <f t="shared" si="12"/>
        <v>0</v>
      </c>
      <c r="O74" s="60"/>
      <c r="P74" s="79">
        <v>291.39999999999998</v>
      </c>
      <c r="Q74" s="82">
        <f t="shared" si="3"/>
        <v>0</v>
      </c>
    </row>
    <row r="75" spans="1:17" s="8" customFormat="1" ht="51" customHeight="1">
      <c r="A75" s="91" t="s">
        <v>125</v>
      </c>
      <c r="B75" s="114" t="s">
        <v>142</v>
      </c>
      <c r="C75" s="95"/>
      <c r="D75" s="32" t="s">
        <v>168</v>
      </c>
      <c r="E75" s="33">
        <f t="shared" si="9"/>
        <v>280.7</v>
      </c>
      <c r="F75" s="33">
        <f t="shared" ref="F75:F105" si="13">G75+H75+I75</f>
        <v>36.799999999999997</v>
      </c>
      <c r="G75" s="33">
        <f t="shared" ref="G75:N75" si="14">G76+G77</f>
        <v>0</v>
      </c>
      <c r="H75" s="33">
        <f t="shared" si="14"/>
        <v>0</v>
      </c>
      <c r="I75" s="33">
        <f t="shared" si="14"/>
        <v>36.799999999999997</v>
      </c>
      <c r="J75" s="33">
        <f t="shared" si="14"/>
        <v>58.5</v>
      </c>
      <c r="K75" s="33">
        <f t="shared" si="14"/>
        <v>68.3</v>
      </c>
      <c r="L75" s="33">
        <f t="shared" si="14"/>
        <v>67.900000000000006</v>
      </c>
      <c r="M75" s="33">
        <f t="shared" si="14"/>
        <v>49.2</v>
      </c>
      <c r="N75" s="33">
        <f t="shared" si="14"/>
        <v>0</v>
      </c>
      <c r="O75" s="60"/>
      <c r="P75" s="79">
        <v>280.7</v>
      </c>
      <c r="Q75" s="82">
        <f t="shared" si="3"/>
        <v>0</v>
      </c>
    </row>
    <row r="76" spans="1:17" s="8" customFormat="1" ht="68.25" customHeight="1">
      <c r="A76" s="104"/>
      <c r="B76" s="115"/>
      <c r="C76" s="116"/>
      <c r="D76" s="32" t="s">
        <v>128</v>
      </c>
      <c r="E76" s="33">
        <f>SUM(G76:M76)</f>
        <v>30.7</v>
      </c>
      <c r="F76" s="33">
        <f t="shared" si="13"/>
        <v>1.8</v>
      </c>
      <c r="G76" s="33">
        <f>G80</f>
        <v>0</v>
      </c>
      <c r="H76" s="33">
        <f t="shared" ref="H76:N76" si="15">H80</f>
        <v>0</v>
      </c>
      <c r="I76" s="33">
        <f t="shared" si="15"/>
        <v>1.8</v>
      </c>
      <c r="J76" s="33">
        <f t="shared" si="15"/>
        <v>3.5</v>
      </c>
      <c r="K76" s="33">
        <f t="shared" si="15"/>
        <v>8.3000000000000007</v>
      </c>
      <c r="L76" s="33">
        <f t="shared" si="15"/>
        <v>7.9</v>
      </c>
      <c r="M76" s="33">
        <f t="shared" si="15"/>
        <v>9.1999999999999993</v>
      </c>
      <c r="N76" s="33">
        <f t="shared" si="15"/>
        <v>0</v>
      </c>
      <c r="O76" s="60"/>
      <c r="P76" s="79">
        <v>30.7</v>
      </c>
      <c r="Q76" s="82">
        <f t="shared" si="3"/>
        <v>0</v>
      </c>
    </row>
    <row r="77" spans="1:17" s="8" customFormat="1" ht="103.7" customHeight="1">
      <c r="A77" s="104"/>
      <c r="B77" s="115"/>
      <c r="C77" s="116"/>
      <c r="D77" s="32" t="s">
        <v>44</v>
      </c>
      <c r="E77" s="33">
        <f t="shared" si="9"/>
        <v>250</v>
      </c>
      <c r="F77" s="33">
        <f t="shared" si="13"/>
        <v>35</v>
      </c>
      <c r="G77" s="33">
        <f>G81+G79</f>
        <v>0</v>
      </c>
      <c r="H77" s="33">
        <f t="shared" ref="H77:L77" si="16">H81+H79</f>
        <v>0</v>
      </c>
      <c r="I77" s="33">
        <f t="shared" si="16"/>
        <v>35</v>
      </c>
      <c r="J77" s="33">
        <f t="shared" si="16"/>
        <v>55</v>
      </c>
      <c r="K77" s="33">
        <f t="shared" si="16"/>
        <v>60</v>
      </c>
      <c r="L77" s="33">
        <f t="shared" si="16"/>
        <v>60</v>
      </c>
      <c r="M77" s="33">
        <v>40</v>
      </c>
      <c r="N77" s="33"/>
      <c r="O77" s="60" t="s">
        <v>54</v>
      </c>
      <c r="P77" s="79">
        <v>250</v>
      </c>
      <c r="Q77" s="82">
        <f t="shared" ref="Q77:Q115" si="17">E77-P77</f>
        <v>0</v>
      </c>
    </row>
    <row r="78" spans="1:17" s="8" customFormat="1" ht="51.75" hidden="1" customHeight="1">
      <c r="A78" s="71"/>
      <c r="B78" s="14"/>
      <c r="C78" s="59"/>
      <c r="D78" s="21"/>
      <c r="E78" s="25"/>
      <c r="F78" s="25">
        <f t="shared" si="13"/>
        <v>0</v>
      </c>
      <c r="G78" s="26"/>
      <c r="H78" s="26"/>
      <c r="I78" s="26"/>
      <c r="J78" s="26"/>
      <c r="K78" s="26"/>
      <c r="L78" s="26"/>
      <c r="M78" s="26"/>
      <c r="N78" s="26"/>
      <c r="O78" s="60"/>
      <c r="P78" s="79"/>
      <c r="Q78" s="82">
        <f t="shared" si="17"/>
        <v>0</v>
      </c>
    </row>
    <row r="79" spans="1:17" s="8" customFormat="1" ht="56.25" customHeight="1">
      <c r="A79" s="71" t="s">
        <v>64</v>
      </c>
      <c r="B79" s="15" t="s">
        <v>169</v>
      </c>
      <c r="C79" s="59" t="s">
        <v>243</v>
      </c>
      <c r="D79" s="21" t="s">
        <v>44</v>
      </c>
      <c r="E79" s="25">
        <f t="shared" ref="E79:E88" si="18">SUM(G79:M79)</f>
        <v>10</v>
      </c>
      <c r="F79" s="25">
        <f t="shared" si="13"/>
        <v>5</v>
      </c>
      <c r="G79" s="26"/>
      <c r="H79" s="26"/>
      <c r="I79" s="26">
        <v>5</v>
      </c>
      <c r="J79" s="26">
        <v>5</v>
      </c>
      <c r="K79" s="26"/>
      <c r="L79" s="26"/>
      <c r="M79" s="26"/>
      <c r="N79" s="26"/>
      <c r="O79" s="60" t="s">
        <v>152</v>
      </c>
      <c r="P79" s="79">
        <v>10</v>
      </c>
      <c r="Q79" s="82">
        <f t="shared" si="17"/>
        <v>0</v>
      </c>
    </row>
    <row r="80" spans="1:17" s="8" customFormat="1" ht="108.95" customHeight="1">
      <c r="A80" s="71" t="s">
        <v>42</v>
      </c>
      <c r="B80" s="15" t="s">
        <v>130</v>
      </c>
      <c r="C80" s="59" t="s">
        <v>251</v>
      </c>
      <c r="D80" s="21" t="s">
        <v>128</v>
      </c>
      <c r="E80" s="25">
        <f t="shared" si="18"/>
        <v>30.7</v>
      </c>
      <c r="F80" s="25">
        <f t="shared" si="13"/>
        <v>1.8</v>
      </c>
      <c r="G80" s="26"/>
      <c r="H80" s="26"/>
      <c r="I80" s="26">
        <v>1.8</v>
      </c>
      <c r="J80" s="26">
        <v>3.5</v>
      </c>
      <c r="K80" s="26">
        <v>8.3000000000000007</v>
      </c>
      <c r="L80" s="26">
        <v>7.9</v>
      </c>
      <c r="M80" s="26">
        <v>9.1999999999999993</v>
      </c>
      <c r="N80" s="26"/>
      <c r="O80" s="60" t="s">
        <v>159</v>
      </c>
      <c r="P80" s="79">
        <v>30.7</v>
      </c>
      <c r="Q80" s="82">
        <f t="shared" si="17"/>
        <v>0</v>
      </c>
    </row>
    <row r="81" spans="1:17" s="8" customFormat="1" ht="61.5" customHeight="1">
      <c r="A81" s="71" t="s">
        <v>129</v>
      </c>
      <c r="B81" s="16" t="s">
        <v>82</v>
      </c>
      <c r="C81" s="59" t="s">
        <v>251</v>
      </c>
      <c r="D81" s="21" t="s">
        <v>44</v>
      </c>
      <c r="E81" s="25">
        <f t="shared" si="18"/>
        <v>260</v>
      </c>
      <c r="F81" s="25">
        <f t="shared" si="13"/>
        <v>30</v>
      </c>
      <c r="G81" s="26"/>
      <c r="H81" s="26"/>
      <c r="I81" s="26">
        <v>30</v>
      </c>
      <c r="J81" s="26">
        <v>50</v>
      </c>
      <c r="K81" s="26">
        <v>60</v>
      </c>
      <c r="L81" s="26">
        <v>60</v>
      </c>
      <c r="M81" s="26">
        <v>60</v>
      </c>
      <c r="N81" s="26"/>
      <c r="O81" s="60" t="s">
        <v>141</v>
      </c>
      <c r="P81" s="79">
        <v>260</v>
      </c>
      <c r="Q81" s="82">
        <f t="shared" si="17"/>
        <v>0</v>
      </c>
    </row>
    <row r="82" spans="1:17" s="8" customFormat="1" ht="37.35" customHeight="1">
      <c r="A82" s="91" t="s">
        <v>87</v>
      </c>
      <c r="B82" s="114" t="s">
        <v>135</v>
      </c>
      <c r="C82" s="95" t="s">
        <v>244</v>
      </c>
      <c r="D82" s="32" t="s">
        <v>167</v>
      </c>
      <c r="E82" s="33">
        <f>E83+E84</f>
        <v>68</v>
      </c>
      <c r="F82" s="33">
        <f t="shared" si="13"/>
        <v>10</v>
      </c>
      <c r="G82" s="33">
        <f>G83+G84</f>
        <v>5</v>
      </c>
      <c r="H82" s="33">
        <f t="shared" ref="H82:M82" si="19">H83+H84</f>
        <v>0</v>
      </c>
      <c r="I82" s="33">
        <f t="shared" si="19"/>
        <v>5</v>
      </c>
      <c r="J82" s="33">
        <f t="shared" si="19"/>
        <v>21.5</v>
      </c>
      <c r="K82" s="33">
        <f t="shared" si="19"/>
        <v>8.4</v>
      </c>
      <c r="L82" s="33">
        <f t="shared" si="19"/>
        <v>0</v>
      </c>
      <c r="M82" s="33">
        <f t="shared" si="19"/>
        <v>28.1</v>
      </c>
      <c r="N82" s="34"/>
      <c r="O82" s="118"/>
      <c r="P82" s="79">
        <v>68</v>
      </c>
      <c r="Q82" s="82">
        <f t="shared" si="17"/>
        <v>0</v>
      </c>
    </row>
    <row r="83" spans="1:17" s="8" customFormat="1" ht="25.5" customHeight="1">
      <c r="A83" s="104"/>
      <c r="B83" s="115"/>
      <c r="C83" s="116"/>
      <c r="D83" s="32" t="s">
        <v>128</v>
      </c>
      <c r="E83" s="33">
        <f>SUM(G83:M83)</f>
        <v>26.6</v>
      </c>
      <c r="F83" s="33">
        <f t="shared" si="13"/>
        <v>5</v>
      </c>
      <c r="G83" s="33">
        <f>G85</f>
        <v>5</v>
      </c>
      <c r="H83" s="33">
        <f t="shared" ref="H83:M83" si="20">H85</f>
        <v>0</v>
      </c>
      <c r="I83" s="33">
        <f t="shared" si="20"/>
        <v>0</v>
      </c>
      <c r="J83" s="33">
        <f t="shared" si="20"/>
        <v>10</v>
      </c>
      <c r="K83" s="33">
        <f t="shared" si="20"/>
        <v>0</v>
      </c>
      <c r="L83" s="33">
        <f t="shared" si="20"/>
        <v>0</v>
      </c>
      <c r="M83" s="33">
        <f t="shared" si="20"/>
        <v>11.6</v>
      </c>
      <c r="N83" s="35"/>
      <c r="O83" s="119"/>
      <c r="P83" s="79">
        <v>26.6</v>
      </c>
      <c r="Q83" s="82">
        <f t="shared" si="17"/>
        <v>0</v>
      </c>
    </row>
    <row r="84" spans="1:17" s="8" customFormat="1" ht="35.25" customHeight="1">
      <c r="A84" s="92"/>
      <c r="B84" s="117"/>
      <c r="C84" s="96"/>
      <c r="D84" s="32" t="s">
        <v>44</v>
      </c>
      <c r="E84" s="33">
        <f>SUM(G84:M84)</f>
        <v>41.4</v>
      </c>
      <c r="F84" s="33">
        <f t="shared" si="13"/>
        <v>5</v>
      </c>
      <c r="G84" s="33">
        <f>G86+G87+G88</f>
        <v>0</v>
      </c>
      <c r="H84" s="33">
        <f t="shared" ref="H84:M84" si="21">H86+H87+H88</f>
        <v>0</v>
      </c>
      <c r="I84" s="33">
        <f t="shared" si="21"/>
        <v>5</v>
      </c>
      <c r="J84" s="33">
        <f t="shared" si="21"/>
        <v>11.5</v>
      </c>
      <c r="K84" s="33">
        <f t="shared" si="21"/>
        <v>8.4</v>
      </c>
      <c r="L84" s="33">
        <f t="shared" si="21"/>
        <v>0</v>
      </c>
      <c r="M84" s="33">
        <f t="shared" si="21"/>
        <v>16.5</v>
      </c>
      <c r="N84" s="36"/>
      <c r="O84" s="120"/>
      <c r="P84" s="79">
        <v>41.4</v>
      </c>
      <c r="Q84" s="82">
        <f t="shared" si="17"/>
        <v>0</v>
      </c>
    </row>
    <row r="85" spans="1:17" s="8" customFormat="1" ht="68.25" customHeight="1">
      <c r="A85" s="71" t="s">
        <v>57</v>
      </c>
      <c r="B85" s="15" t="s">
        <v>65</v>
      </c>
      <c r="C85" s="59" t="s">
        <v>244</v>
      </c>
      <c r="D85" s="21" t="s">
        <v>128</v>
      </c>
      <c r="E85" s="25">
        <f t="shared" si="18"/>
        <v>26.6</v>
      </c>
      <c r="F85" s="25">
        <f t="shared" si="13"/>
        <v>5</v>
      </c>
      <c r="G85" s="26">
        <v>5</v>
      </c>
      <c r="H85" s="26"/>
      <c r="I85" s="26"/>
      <c r="J85" s="26">
        <v>10</v>
      </c>
      <c r="K85" s="26"/>
      <c r="L85" s="26"/>
      <c r="M85" s="26">
        <f>9.6+2</f>
        <v>11.6</v>
      </c>
      <c r="N85" s="26"/>
      <c r="O85" s="60" t="s">
        <v>78</v>
      </c>
      <c r="P85" s="79">
        <v>26.6</v>
      </c>
      <c r="Q85" s="82">
        <f t="shared" si="17"/>
        <v>0</v>
      </c>
    </row>
    <row r="86" spans="1:17" s="8" customFormat="1" ht="52.5" customHeight="1">
      <c r="A86" s="71" t="s">
        <v>58</v>
      </c>
      <c r="B86" s="15" t="s">
        <v>226</v>
      </c>
      <c r="C86" s="59" t="s">
        <v>252</v>
      </c>
      <c r="D86" s="21" t="s">
        <v>164</v>
      </c>
      <c r="E86" s="25">
        <f t="shared" si="18"/>
        <v>18.399999999999999</v>
      </c>
      <c r="F86" s="25">
        <f t="shared" si="13"/>
        <v>0</v>
      </c>
      <c r="G86" s="26"/>
      <c r="H86" s="26"/>
      <c r="I86" s="26"/>
      <c r="J86" s="26">
        <v>10</v>
      </c>
      <c r="K86" s="26">
        <v>8.4</v>
      </c>
      <c r="L86" s="26"/>
      <c r="M86" s="26"/>
      <c r="N86" s="26"/>
      <c r="O86" s="60" t="s">
        <v>181</v>
      </c>
      <c r="P86" s="79">
        <v>18.399999999999999</v>
      </c>
      <c r="Q86" s="82">
        <f t="shared" si="17"/>
        <v>0</v>
      </c>
    </row>
    <row r="87" spans="1:17" s="8" customFormat="1" ht="62.25" customHeight="1">
      <c r="A87" s="71" t="s">
        <v>88</v>
      </c>
      <c r="B87" s="15" t="s">
        <v>179</v>
      </c>
      <c r="C87" s="59" t="s">
        <v>248</v>
      </c>
      <c r="D87" s="21" t="s">
        <v>160</v>
      </c>
      <c r="E87" s="25">
        <f t="shared" si="18"/>
        <v>18</v>
      </c>
      <c r="F87" s="25">
        <f t="shared" si="13"/>
        <v>0</v>
      </c>
      <c r="G87" s="26"/>
      <c r="H87" s="26"/>
      <c r="I87" s="26"/>
      <c r="J87" s="26">
        <v>1.5</v>
      </c>
      <c r="K87" s="26">
        <v>0</v>
      </c>
      <c r="L87" s="26"/>
      <c r="M87" s="26">
        <f>10+6.5</f>
        <v>16.5</v>
      </c>
      <c r="N87" s="26"/>
      <c r="O87" s="60" t="s">
        <v>39</v>
      </c>
      <c r="P87" s="79">
        <v>18</v>
      </c>
      <c r="Q87" s="82">
        <f t="shared" si="17"/>
        <v>0</v>
      </c>
    </row>
    <row r="88" spans="1:17" s="8" customFormat="1" ht="42.75" customHeight="1">
      <c r="A88" s="71" t="s">
        <v>89</v>
      </c>
      <c r="B88" s="15" t="s">
        <v>40</v>
      </c>
      <c r="C88" s="59" t="s">
        <v>26</v>
      </c>
      <c r="D88" s="21" t="s">
        <v>44</v>
      </c>
      <c r="E88" s="25">
        <f t="shared" si="18"/>
        <v>5</v>
      </c>
      <c r="F88" s="25">
        <f t="shared" si="13"/>
        <v>5</v>
      </c>
      <c r="G88" s="26"/>
      <c r="H88" s="26"/>
      <c r="I88" s="26">
        <v>5</v>
      </c>
      <c r="J88" s="26"/>
      <c r="K88" s="26"/>
      <c r="L88" s="26"/>
      <c r="M88" s="26"/>
      <c r="N88" s="26"/>
      <c r="O88" s="60" t="s">
        <v>55</v>
      </c>
      <c r="P88" s="79">
        <v>5</v>
      </c>
      <c r="Q88" s="82">
        <f t="shared" si="17"/>
        <v>0</v>
      </c>
    </row>
    <row r="89" spans="1:17" s="8" customFormat="1" ht="27" customHeight="1">
      <c r="A89" s="101"/>
      <c r="B89" s="102" t="s">
        <v>43</v>
      </c>
      <c r="C89" s="111"/>
      <c r="D89" s="19" t="s">
        <v>27</v>
      </c>
      <c r="E89" s="31">
        <f>E90+E91</f>
        <v>2507.3598299999999</v>
      </c>
      <c r="F89" s="31">
        <f t="shared" si="13"/>
        <v>165.81000000000003</v>
      </c>
      <c r="G89" s="31">
        <f t="shared" ref="G89:N89" si="22">G90+G91</f>
        <v>115.4</v>
      </c>
      <c r="H89" s="31">
        <f t="shared" si="22"/>
        <v>38.200000000000003</v>
      </c>
      <c r="I89" s="31">
        <f t="shared" si="22"/>
        <v>12.21</v>
      </c>
      <c r="J89" s="31">
        <f t="shared" si="22"/>
        <v>11.299999999999999</v>
      </c>
      <c r="K89" s="31">
        <f t="shared" si="22"/>
        <v>16.8</v>
      </c>
      <c r="L89" s="31">
        <f t="shared" si="22"/>
        <v>6.363830000000001</v>
      </c>
      <c r="M89" s="31">
        <f t="shared" si="22"/>
        <v>128.93299999999999</v>
      </c>
      <c r="N89" s="31">
        <f t="shared" si="22"/>
        <v>2178.1530000000002</v>
      </c>
      <c r="O89" s="97"/>
      <c r="P89" s="79">
        <v>2507.36</v>
      </c>
      <c r="Q89" s="82">
        <f t="shared" si="17"/>
        <v>-1.7000000025291229E-4</v>
      </c>
    </row>
    <row r="90" spans="1:17" s="8" customFormat="1" ht="26.25" customHeight="1">
      <c r="A90" s="101"/>
      <c r="B90" s="102"/>
      <c r="C90" s="111"/>
      <c r="D90" s="19" t="s">
        <v>128</v>
      </c>
      <c r="E90" s="31">
        <f>SUM(G90:N90)</f>
        <v>2107.75983</v>
      </c>
      <c r="F90" s="31">
        <f t="shared" si="13"/>
        <v>165.81000000000003</v>
      </c>
      <c r="G90" s="31">
        <f>G92+G95+G96+G97+G98+G103+G104+G105+G100+G101+G93</f>
        <v>115.4</v>
      </c>
      <c r="H90" s="31">
        <f t="shared" ref="H90:M90" si="23">H92+H95+H96+H97+H98+H103+H104+H105+H100+H101+H93</f>
        <v>38.200000000000003</v>
      </c>
      <c r="I90" s="31">
        <f t="shared" si="23"/>
        <v>12.21</v>
      </c>
      <c r="J90" s="31">
        <f t="shared" si="23"/>
        <v>11.299999999999999</v>
      </c>
      <c r="K90" s="31">
        <f t="shared" si="23"/>
        <v>16.8</v>
      </c>
      <c r="L90" s="31">
        <f t="shared" si="23"/>
        <v>6.363830000000001</v>
      </c>
      <c r="M90" s="31">
        <f t="shared" si="23"/>
        <v>8.9329999999999998</v>
      </c>
      <c r="N90" s="31">
        <f>N92+N95+N96+N97+N98+N103+N104+N105+N100+N101+N93+N99</f>
        <v>1898.5530000000001</v>
      </c>
      <c r="O90" s="112"/>
      <c r="P90" s="79">
        <v>2107.7600000000002</v>
      </c>
      <c r="Q90" s="82">
        <f t="shared" si="17"/>
        <v>-1.7000000025291229E-4</v>
      </c>
    </row>
    <row r="91" spans="1:17" s="8" customFormat="1" ht="30.75" customHeight="1">
      <c r="A91" s="101"/>
      <c r="B91" s="102"/>
      <c r="C91" s="111"/>
      <c r="D91" s="19" t="s">
        <v>44</v>
      </c>
      <c r="E91" s="31">
        <f>SUM(G91:N91)</f>
        <v>399.6</v>
      </c>
      <c r="F91" s="31">
        <f t="shared" ref="F91:N91" si="24">F94+F102</f>
        <v>0</v>
      </c>
      <c r="G91" s="31">
        <f t="shared" si="24"/>
        <v>0</v>
      </c>
      <c r="H91" s="31">
        <f t="shared" si="24"/>
        <v>0</v>
      </c>
      <c r="I91" s="31">
        <f t="shared" si="24"/>
        <v>0</v>
      </c>
      <c r="J91" s="31">
        <f t="shared" si="24"/>
        <v>0</v>
      </c>
      <c r="K91" s="31">
        <f t="shared" si="24"/>
        <v>0</v>
      </c>
      <c r="L91" s="31">
        <f t="shared" si="24"/>
        <v>0</v>
      </c>
      <c r="M91" s="31">
        <f t="shared" si="24"/>
        <v>120</v>
      </c>
      <c r="N91" s="31">
        <f t="shared" si="24"/>
        <v>279.60000000000002</v>
      </c>
      <c r="O91" s="98"/>
      <c r="P91" s="79">
        <v>399.6</v>
      </c>
      <c r="Q91" s="82">
        <f t="shared" si="17"/>
        <v>0</v>
      </c>
    </row>
    <row r="92" spans="1:17" s="8" customFormat="1" ht="66" customHeight="1">
      <c r="A92" s="72" t="s">
        <v>85</v>
      </c>
      <c r="B92" s="53" t="s">
        <v>79</v>
      </c>
      <c r="C92" s="54" t="s">
        <v>253</v>
      </c>
      <c r="D92" s="21" t="s">
        <v>128</v>
      </c>
      <c r="E92" s="25">
        <f>SUM(G92:N92)</f>
        <v>105.7</v>
      </c>
      <c r="F92" s="29">
        <f t="shared" si="13"/>
        <v>105.7</v>
      </c>
      <c r="G92" s="29">
        <v>103.7</v>
      </c>
      <c r="H92" s="29">
        <v>2</v>
      </c>
      <c r="I92" s="29"/>
      <c r="J92" s="29"/>
      <c r="K92" s="29"/>
      <c r="L92" s="29"/>
      <c r="M92" s="29"/>
      <c r="N92" s="37"/>
      <c r="O92" s="56" t="s">
        <v>46</v>
      </c>
      <c r="P92" s="79">
        <v>105.7</v>
      </c>
      <c r="Q92" s="82">
        <f t="shared" si="17"/>
        <v>0</v>
      </c>
    </row>
    <row r="93" spans="1:17" s="8" customFormat="1" ht="46.5" customHeight="1">
      <c r="A93" s="91" t="s">
        <v>4</v>
      </c>
      <c r="B93" s="93" t="s">
        <v>193</v>
      </c>
      <c r="C93" s="95" t="s">
        <v>254</v>
      </c>
      <c r="D93" s="38" t="s">
        <v>165</v>
      </c>
      <c r="E93" s="28">
        <f t="shared" ref="E93:E105" si="25">SUM(G93:N93)</f>
        <v>15.959999999999999</v>
      </c>
      <c r="F93" s="29">
        <f t="shared" si="13"/>
        <v>10.11</v>
      </c>
      <c r="G93" s="37"/>
      <c r="H93" s="37">
        <v>9.1999999999999993</v>
      </c>
      <c r="I93" s="37">
        <v>0.91</v>
      </c>
      <c r="J93" s="29">
        <v>0.7</v>
      </c>
      <c r="K93" s="29"/>
      <c r="L93" s="29"/>
      <c r="M93" s="29"/>
      <c r="N93" s="29">
        <v>5.15</v>
      </c>
      <c r="O93" s="97" t="s">
        <v>126</v>
      </c>
      <c r="P93" s="79">
        <v>15.959999999999999</v>
      </c>
      <c r="Q93" s="82">
        <f t="shared" si="17"/>
        <v>0</v>
      </c>
    </row>
    <row r="94" spans="1:17" s="8" customFormat="1" ht="41.25" customHeight="1">
      <c r="A94" s="92"/>
      <c r="B94" s="94"/>
      <c r="C94" s="96"/>
      <c r="D94" s="21" t="s">
        <v>160</v>
      </c>
      <c r="E94" s="25"/>
      <c r="F94" s="29"/>
      <c r="G94" s="29"/>
      <c r="H94" s="29"/>
      <c r="I94" s="29"/>
      <c r="J94" s="29"/>
      <c r="K94" s="29"/>
      <c r="L94" s="29"/>
      <c r="M94" s="29"/>
      <c r="N94" s="29"/>
      <c r="O94" s="98"/>
      <c r="P94" s="79"/>
      <c r="Q94" s="82">
        <f t="shared" si="17"/>
        <v>0</v>
      </c>
    </row>
    <row r="95" spans="1:17" s="8" customFormat="1" ht="72.599999999999994" customHeight="1">
      <c r="A95" s="72" t="s">
        <v>5</v>
      </c>
      <c r="B95" s="53" t="s">
        <v>66</v>
      </c>
      <c r="C95" s="54" t="s">
        <v>236</v>
      </c>
      <c r="D95" s="38" t="s">
        <v>128</v>
      </c>
      <c r="E95" s="25">
        <f t="shared" si="25"/>
        <v>51.6</v>
      </c>
      <c r="F95" s="29">
        <f t="shared" si="13"/>
        <v>7.6</v>
      </c>
      <c r="G95" s="37">
        <v>0.3</v>
      </c>
      <c r="H95" s="37">
        <v>7.3</v>
      </c>
      <c r="I95" s="37"/>
      <c r="J95" s="37"/>
      <c r="K95" s="37"/>
      <c r="L95" s="37"/>
      <c r="M95" s="37"/>
      <c r="N95" s="37">
        <v>44</v>
      </c>
      <c r="O95" s="56" t="s">
        <v>224</v>
      </c>
      <c r="P95" s="79">
        <v>51.6</v>
      </c>
      <c r="Q95" s="82">
        <f t="shared" si="17"/>
        <v>0</v>
      </c>
    </row>
    <row r="96" spans="1:17" s="8" customFormat="1" ht="48" customHeight="1">
      <c r="A96" s="71" t="s">
        <v>6</v>
      </c>
      <c r="B96" s="65" t="s">
        <v>149</v>
      </c>
      <c r="C96" s="59" t="s">
        <v>255</v>
      </c>
      <c r="D96" s="21" t="s">
        <v>128</v>
      </c>
      <c r="E96" s="25">
        <f t="shared" si="25"/>
        <v>52</v>
      </c>
      <c r="F96" s="29"/>
      <c r="G96" s="29"/>
      <c r="H96" s="29"/>
      <c r="I96" s="29"/>
      <c r="J96" s="29"/>
      <c r="K96" s="29"/>
      <c r="L96" s="29"/>
      <c r="M96" s="29"/>
      <c r="N96" s="29">
        <f>50+2</f>
        <v>52</v>
      </c>
      <c r="O96" s="60" t="s">
        <v>56</v>
      </c>
      <c r="P96" s="79">
        <v>52</v>
      </c>
      <c r="Q96" s="82">
        <f t="shared" si="17"/>
        <v>0</v>
      </c>
    </row>
    <row r="97" spans="1:17" s="8" customFormat="1" ht="54.95" customHeight="1">
      <c r="A97" s="71" t="s">
        <v>38</v>
      </c>
      <c r="B97" s="65" t="s">
        <v>67</v>
      </c>
      <c r="C97" s="59" t="s">
        <v>256</v>
      </c>
      <c r="D97" s="21" t="s">
        <v>128</v>
      </c>
      <c r="E97" s="28">
        <f t="shared" si="25"/>
        <v>72.549830000000014</v>
      </c>
      <c r="F97" s="29">
        <f t="shared" si="13"/>
        <v>23.5</v>
      </c>
      <c r="G97" s="39">
        <v>7.4</v>
      </c>
      <c r="H97" s="29">
        <v>10.199999999999999</v>
      </c>
      <c r="I97" s="26">
        <v>5.9</v>
      </c>
      <c r="J97" s="29">
        <v>10.45</v>
      </c>
      <c r="K97" s="29">
        <v>13.7</v>
      </c>
      <c r="L97" s="39">
        <f>4.66783+0.799</f>
        <v>5.4668300000000007</v>
      </c>
      <c r="M97" s="39">
        <f>7.4-0.467</f>
        <v>6.9330000000000007</v>
      </c>
      <c r="N97" s="39">
        <v>12.5</v>
      </c>
      <c r="O97" s="60" t="s">
        <v>80</v>
      </c>
      <c r="P97" s="79">
        <v>72.550000000000011</v>
      </c>
      <c r="Q97" s="82">
        <f t="shared" si="17"/>
        <v>-1.699999999971169E-4</v>
      </c>
    </row>
    <row r="98" spans="1:17" s="8" customFormat="1" ht="44.25" customHeight="1">
      <c r="A98" s="71" t="s">
        <v>212</v>
      </c>
      <c r="B98" s="65" t="s">
        <v>150</v>
      </c>
      <c r="C98" s="59" t="s">
        <v>257</v>
      </c>
      <c r="D98" s="21" t="s">
        <v>128</v>
      </c>
      <c r="E98" s="25">
        <f t="shared" si="25"/>
        <v>19.8</v>
      </c>
      <c r="F98" s="29">
        <f t="shared" si="13"/>
        <v>0</v>
      </c>
      <c r="G98" s="29"/>
      <c r="H98" s="29"/>
      <c r="I98" s="29"/>
      <c r="J98" s="29"/>
      <c r="K98" s="29"/>
      <c r="L98" s="29"/>
      <c r="M98" s="29">
        <v>2</v>
      </c>
      <c r="N98" s="29">
        <v>17.8</v>
      </c>
      <c r="O98" s="60" t="s">
        <v>151</v>
      </c>
      <c r="P98" s="79">
        <v>19.8</v>
      </c>
      <c r="Q98" s="82">
        <f t="shared" si="17"/>
        <v>0</v>
      </c>
    </row>
    <row r="99" spans="1:17" s="8" customFormat="1" ht="42" customHeight="1">
      <c r="A99" s="71" t="s">
        <v>83</v>
      </c>
      <c r="B99" s="65" t="s">
        <v>198</v>
      </c>
      <c r="C99" s="59" t="s">
        <v>237</v>
      </c>
      <c r="D99" s="38"/>
      <c r="E99" s="25"/>
      <c r="F99" s="29"/>
      <c r="G99" s="29"/>
      <c r="H99" s="29"/>
      <c r="I99" s="29"/>
      <c r="J99" s="29"/>
      <c r="K99" s="29"/>
      <c r="L99" s="29"/>
      <c r="M99" s="29"/>
      <c r="N99" s="29">
        <v>205</v>
      </c>
      <c r="O99" s="60" t="s">
        <v>127</v>
      </c>
      <c r="P99" s="79"/>
      <c r="Q99" s="82">
        <f t="shared" si="17"/>
        <v>0</v>
      </c>
    </row>
    <row r="100" spans="1:17" s="8" customFormat="1" ht="64.5" customHeight="1">
      <c r="A100" s="71" t="s">
        <v>59</v>
      </c>
      <c r="B100" s="65" t="s">
        <v>217</v>
      </c>
      <c r="C100" s="59" t="s">
        <v>239</v>
      </c>
      <c r="D100" s="38" t="s">
        <v>128</v>
      </c>
      <c r="E100" s="25">
        <f t="shared" si="25"/>
        <v>8.1</v>
      </c>
      <c r="F100" s="29">
        <f t="shared" si="13"/>
        <v>8</v>
      </c>
      <c r="G100" s="29">
        <v>1</v>
      </c>
      <c r="H100" s="29">
        <v>5.3</v>
      </c>
      <c r="I100" s="29">
        <v>1.7</v>
      </c>
      <c r="J100" s="29">
        <v>0.1</v>
      </c>
      <c r="K100" s="29"/>
      <c r="L100" s="29"/>
      <c r="M100" s="29"/>
      <c r="N100" s="29"/>
      <c r="O100" s="60" t="s">
        <v>183</v>
      </c>
      <c r="P100" s="79">
        <v>8.1</v>
      </c>
      <c r="Q100" s="82">
        <f t="shared" si="17"/>
        <v>0</v>
      </c>
    </row>
    <row r="101" spans="1:17" s="8" customFormat="1" ht="30" customHeight="1">
      <c r="A101" s="91" t="s">
        <v>84</v>
      </c>
      <c r="B101" s="93" t="s">
        <v>227</v>
      </c>
      <c r="C101" s="95" t="s">
        <v>236</v>
      </c>
      <c r="D101" s="21" t="s">
        <v>128</v>
      </c>
      <c r="E101" s="28">
        <f t="shared" si="25"/>
        <v>448.45</v>
      </c>
      <c r="F101" s="29">
        <f t="shared" si="13"/>
        <v>10.9</v>
      </c>
      <c r="G101" s="29">
        <v>3</v>
      </c>
      <c r="H101" s="29">
        <v>4.2</v>
      </c>
      <c r="I101" s="29">
        <v>3.7</v>
      </c>
      <c r="J101" s="29">
        <v>0.05</v>
      </c>
      <c r="K101" s="29">
        <v>3.1</v>
      </c>
      <c r="L101" s="29">
        <v>0.89700000000000002</v>
      </c>
      <c r="M101" s="29"/>
      <c r="N101" s="29">
        <f>434.4-0.897</f>
        <v>433.50299999999999</v>
      </c>
      <c r="O101" s="97" t="s">
        <v>153</v>
      </c>
      <c r="P101" s="79">
        <v>448.45</v>
      </c>
      <c r="Q101" s="82">
        <f t="shared" si="17"/>
        <v>0</v>
      </c>
    </row>
    <row r="102" spans="1:17" s="8" customFormat="1" ht="24.75" customHeight="1">
      <c r="A102" s="92"/>
      <c r="B102" s="94"/>
      <c r="C102" s="96"/>
      <c r="D102" s="21" t="s">
        <v>160</v>
      </c>
      <c r="E102" s="25">
        <f t="shared" si="25"/>
        <v>399.6</v>
      </c>
      <c r="F102" s="29"/>
      <c r="G102" s="29"/>
      <c r="H102" s="29"/>
      <c r="I102" s="29"/>
      <c r="J102" s="29"/>
      <c r="K102" s="29"/>
      <c r="L102" s="29"/>
      <c r="M102" s="29">
        <v>120</v>
      </c>
      <c r="N102" s="29">
        <v>279.60000000000002</v>
      </c>
      <c r="O102" s="98"/>
      <c r="P102" s="79">
        <v>399.6</v>
      </c>
      <c r="Q102" s="82">
        <f t="shared" si="17"/>
        <v>0</v>
      </c>
    </row>
    <row r="103" spans="1:17" s="8" customFormat="1" ht="52.5" customHeight="1">
      <c r="A103" s="71" t="s">
        <v>201</v>
      </c>
      <c r="B103" s="65" t="s">
        <v>182</v>
      </c>
      <c r="C103" s="59" t="s">
        <v>237</v>
      </c>
      <c r="D103" s="21" t="s">
        <v>128</v>
      </c>
      <c r="E103" s="25">
        <f t="shared" si="25"/>
        <v>374.6</v>
      </c>
      <c r="F103" s="29">
        <f t="shared" si="13"/>
        <v>0</v>
      </c>
      <c r="G103" s="29"/>
      <c r="H103" s="29"/>
      <c r="I103" s="29"/>
      <c r="J103" s="29"/>
      <c r="K103" s="29"/>
      <c r="L103" s="29"/>
      <c r="M103" s="29"/>
      <c r="N103" s="29">
        <v>374.6</v>
      </c>
      <c r="O103" s="60" t="s">
        <v>137</v>
      </c>
      <c r="P103" s="79">
        <v>374.6</v>
      </c>
      <c r="Q103" s="82">
        <f t="shared" si="17"/>
        <v>0</v>
      </c>
    </row>
    <row r="104" spans="1:17" s="8" customFormat="1" ht="57" customHeight="1">
      <c r="A104" s="71" t="s">
        <v>86</v>
      </c>
      <c r="B104" s="65" t="s">
        <v>136</v>
      </c>
      <c r="C104" s="59" t="s">
        <v>237</v>
      </c>
      <c r="D104" s="21" t="s">
        <v>128</v>
      </c>
      <c r="E104" s="25">
        <f t="shared" si="25"/>
        <v>444</v>
      </c>
      <c r="F104" s="29">
        <f t="shared" si="13"/>
        <v>0</v>
      </c>
      <c r="G104" s="29"/>
      <c r="H104" s="29"/>
      <c r="I104" s="29"/>
      <c r="J104" s="29"/>
      <c r="K104" s="29"/>
      <c r="L104" s="29"/>
      <c r="M104" s="29"/>
      <c r="N104" s="29">
        <v>444</v>
      </c>
      <c r="O104" s="60" t="s">
        <v>138</v>
      </c>
      <c r="P104" s="79">
        <v>444</v>
      </c>
      <c r="Q104" s="82">
        <f t="shared" si="17"/>
        <v>0</v>
      </c>
    </row>
    <row r="105" spans="1:17" s="8" customFormat="1" ht="49.7" customHeight="1">
      <c r="A105" s="71" t="s">
        <v>213</v>
      </c>
      <c r="B105" s="65" t="s">
        <v>139</v>
      </c>
      <c r="C105" s="59" t="s">
        <v>237</v>
      </c>
      <c r="D105" s="21" t="s">
        <v>128</v>
      </c>
      <c r="E105" s="25">
        <f t="shared" si="25"/>
        <v>310</v>
      </c>
      <c r="F105" s="29">
        <f t="shared" si="13"/>
        <v>0</v>
      </c>
      <c r="G105" s="29"/>
      <c r="H105" s="29"/>
      <c r="I105" s="29"/>
      <c r="J105" s="29"/>
      <c r="K105" s="29"/>
      <c r="L105" s="29"/>
      <c r="M105" s="29"/>
      <c r="N105" s="29">
        <v>310</v>
      </c>
      <c r="O105" s="60" t="s">
        <v>140</v>
      </c>
      <c r="P105" s="79">
        <v>310</v>
      </c>
      <c r="Q105" s="82">
        <f t="shared" si="17"/>
        <v>0</v>
      </c>
    </row>
    <row r="106" spans="1:17" s="8" customFormat="1" ht="32.25" hidden="1" customHeight="1">
      <c r="A106" s="101"/>
      <c r="B106" s="102" t="s">
        <v>41</v>
      </c>
      <c r="C106" s="103" t="s">
        <v>194</v>
      </c>
      <c r="D106" s="40" t="s">
        <v>27</v>
      </c>
      <c r="E106" s="20">
        <f t="shared" ref="E106:N106" si="26">E107+E108</f>
        <v>4114.0594170000004</v>
      </c>
      <c r="F106" s="20">
        <f t="shared" si="26"/>
        <v>504.51</v>
      </c>
      <c r="G106" s="20">
        <f t="shared" si="26"/>
        <v>189.20000000000002</v>
      </c>
      <c r="H106" s="20">
        <f t="shared" si="26"/>
        <v>102.60000000000001</v>
      </c>
      <c r="I106" s="20">
        <f t="shared" si="26"/>
        <v>212.70999999999998</v>
      </c>
      <c r="J106" s="20">
        <f>J107+J108</f>
        <v>232.40000000000003</v>
      </c>
      <c r="K106" s="20">
        <f t="shared" si="26"/>
        <v>192.5</v>
      </c>
      <c r="L106" s="20">
        <f t="shared" si="26"/>
        <v>173.91541700000002</v>
      </c>
      <c r="M106" s="20">
        <f t="shared" si="26"/>
        <v>349.30700000000002</v>
      </c>
      <c r="N106" s="20">
        <f t="shared" si="26"/>
        <v>2661.4270000000001</v>
      </c>
      <c r="O106" s="113"/>
      <c r="P106" s="79">
        <v>4114.0599999999995</v>
      </c>
      <c r="Q106" s="82">
        <f t="shared" si="17"/>
        <v>-5.8299999909650069E-4</v>
      </c>
    </row>
    <row r="107" spans="1:17" s="8" customFormat="1" ht="32.25" hidden="1" customHeight="1">
      <c r="A107" s="101"/>
      <c r="B107" s="102"/>
      <c r="C107" s="103"/>
      <c r="D107" s="19" t="s">
        <v>131</v>
      </c>
      <c r="E107" s="20">
        <f>SUM(G107:N107)</f>
        <v>3085.0594170000004</v>
      </c>
      <c r="F107" s="20">
        <f>G107+H107+I107</f>
        <v>336.61</v>
      </c>
      <c r="G107" s="20">
        <f t="shared" ref="G107:N107" si="27">G10+G73+G90</f>
        <v>164.3</v>
      </c>
      <c r="H107" s="20">
        <f t="shared" si="27"/>
        <v>70.800000000000011</v>
      </c>
      <c r="I107" s="20">
        <f t="shared" si="27"/>
        <v>101.50999999999999</v>
      </c>
      <c r="J107" s="20">
        <f t="shared" si="27"/>
        <v>129.20000000000002</v>
      </c>
      <c r="K107" s="20">
        <f t="shared" si="27"/>
        <v>110.49999999999999</v>
      </c>
      <c r="L107" s="20">
        <f t="shared" si="27"/>
        <v>104.91541700000002</v>
      </c>
      <c r="M107" s="20">
        <f t="shared" si="27"/>
        <v>127.50700000000001</v>
      </c>
      <c r="N107" s="20">
        <f t="shared" si="27"/>
        <v>2276.3270000000002</v>
      </c>
      <c r="O107" s="113"/>
      <c r="P107" s="79">
        <v>3085.06</v>
      </c>
      <c r="Q107" s="82">
        <f t="shared" si="17"/>
        <v>-5.8299999955124804E-4</v>
      </c>
    </row>
    <row r="108" spans="1:17" s="8" customFormat="1" ht="32.25" hidden="1" customHeight="1">
      <c r="A108" s="101"/>
      <c r="B108" s="102"/>
      <c r="C108" s="103"/>
      <c r="D108" s="40" t="s">
        <v>44</v>
      </c>
      <c r="E108" s="31">
        <f>SUM(G108:N108)</f>
        <v>1029</v>
      </c>
      <c r="F108" s="31">
        <f>G108+H108+I108</f>
        <v>167.9</v>
      </c>
      <c r="G108" s="31">
        <f t="shared" ref="G108:N108" si="28">G91+G74+G9</f>
        <v>24.9</v>
      </c>
      <c r="H108" s="31">
        <f t="shared" si="28"/>
        <v>31.8</v>
      </c>
      <c r="I108" s="31">
        <f t="shared" si="28"/>
        <v>111.2</v>
      </c>
      <c r="J108" s="31">
        <f t="shared" si="28"/>
        <v>103.2</v>
      </c>
      <c r="K108" s="31">
        <f t="shared" si="28"/>
        <v>82</v>
      </c>
      <c r="L108" s="31">
        <f t="shared" si="28"/>
        <v>69</v>
      </c>
      <c r="M108" s="31">
        <f t="shared" si="28"/>
        <v>221.8</v>
      </c>
      <c r="N108" s="31">
        <f t="shared" si="28"/>
        <v>385.1</v>
      </c>
      <c r="O108" s="113"/>
      <c r="P108" s="79">
        <v>1029</v>
      </c>
      <c r="Q108" s="82">
        <f t="shared" si="17"/>
        <v>0</v>
      </c>
    </row>
    <row r="109" spans="1:17" s="8" customFormat="1" ht="32.25" customHeight="1">
      <c r="A109" s="91"/>
      <c r="B109" s="105" t="s">
        <v>41</v>
      </c>
      <c r="C109" s="108" t="s">
        <v>236</v>
      </c>
      <c r="D109" s="19" t="s">
        <v>27</v>
      </c>
      <c r="E109" s="31">
        <f>E106</f>
        <v>4114.0594170000004</v>
      </c>
      <c r="F109" s="31">
        <f t="shared" ref="F109:N109" si="29">F106</f>
        <v>504.51</v>
      </c>
      <c r="G109" s="31">
        <f t="shared" si="29"/>
        <v>189.20000000000002</v>
      </c>
      <c r="H109" s="31">
        <f t="shared" si="29"/>
        <v>102.60000000000001</v>
      </c>
      <c r="I109" s="31">
        <f t="shared" si="29"/>
        <v>212.70999999999998</v>
      </c>
      <c r="J109" s="31">
        <f t="shared" si="29"/>
        <v>232.40000000000003</v>
      </c>
      <c r="K109" s="31">
        <f t="shared" si="29"/>
        <v>192.5</v>
      </c>
      <c r="L109" s="31">
        <f t="shared" si="29"/>
        <v>173.91541700000002</v>
      </c>
      <c r="M109" s="31">
        <f t="shared" si="29"/>
        <v>349.30700000000002</v>
      </c>
      <c r="N109" s="31">
        <f t="shared" si="29"/>
        <v>2661.4270000000001</v>
      </c>
      <c r="O109" s="41"/>
      <c r="P109" s="79">
        <v>4114.0599999999995</v>
      </c>
      <c r="Q109" s="82">
        <f t="shared" si="17"/>
        <v>-5.8299999909650069E-4</v>
      </c>
    </row>
    <row r="110" spans="1:17" s="8" customFormat="1" ht="27" customHeight="1">
      <c r="A110" s="104"/>
      <c r="B110" s="106"/>
      <c r="C110" s="109"/>
      <c r="D110" s="19" t="s">
        <v>154</v>
      </c>
      <c r="E110" s="31">
        <f>E108</f>
        <v>1029</v>
      </c>
      <c r="F110" s="31">
        <f t="shared" ref="F110:N110" si="30">F108</f>
        <v>167.9</v>
      </c>
      <c r="G110" s="31">
        <f t="shared" si="30"/>
        <v>24.9</v>
      </c>
      <c r="H110" s="31">
        <f t="shared" si="30"/>
        <v>31.8</v>
      </c>
      <c r="I110" s="31">
        <f t="shared" si="30"/>
        <v>111.2</v>
      </c>
      <c r="J110" s="31">
        <f t="shared" si="30"/>
        <v>103.2</v>
      </c>
      <c r="K110" s="31">
        <f t="shared" si="30"/>
        <v>82</v>
      </c>
      <c r="L110" s="31">
        <f t="shared" si="30"/>
        <v>69</v>
      </c>
      <c r="M110" s="31">
        <f t="shared" si="30"/>
        <v>221.8</v>
      </c>
      <c r="N110" s="31">
        <f t="shared" si="30"/>
        <v>385.1</v>
      </c>
      <c r="O110" s="41"/>
      <c r="P110" s="79">
        <v>1029</v>
      </c>
      <c r="Q110" s="82">
        <f t="shared" si="17"/>
        <v>0</v>
      </c>
    </row>
    <row r="111" spans="1:17" s="8" customFormat="1" ht="40.700000000000003" customHeight="1">
      <c r="A111" s="104"/>
      <c r="B111" s="106"/>
      <c r="C111" s="109"/>
      <c r="D111" s="19" t="s">
        <v>155</v>
      </c>
      <c r="E111" s="31">
        <f>E107</f>
        <v>3085.0594170000004</v>
      </c>
      <c r="F111" s="31">
        <f t="shared" ref="F111:N111" si="31">F107</f>
        <v>336.61</v>
      </c>
      <c r="G111" s="31">
        <f t="shared" si="31"/>
        <v>164.3</v>
      </c>
      <c r="H111" s="31">
        <f t="shared" si="31"/>
        <v>70.800000000000011</v>
      </c>
      <c r="I111" s="31">
        <f>I107</f>
        <v>101.50999999999999</v>
      </c>
      <c r="J111" s="31">
        <f t="shared" si="31"/>
        <v>129.20000000000002</v>
      </c>
      <c r="K111" s="31">
        <f t="shared" si="31"/>
        <v>110.49999999999999</v>
      </c>
      <c r="L111" s="31">
        <f t="shared" si="31"/>
        <v>104.91541700000002</v>
      </c>
      <c r="M111" s="31">
        <f t="shared" si="31"/>
        <v>127.50700000000001</v>
      </c>
      <c r="N111" s="31">
        <f t="shared" si="31"/>
        <v>2276.3270000000002</v>
      </c>
      <c r="O111" s="41"/>
      <c r="P111" s="79">
        <v>3085.06</v>
      </c>
      <c r="Q111" s="82">
        <f t="shared" si="17"/>
        <v>-5.8299999955124804E-4</v>
      </c>
    </row>
    <row r="112" spans="1:17" s="8" customFormat="1" ht="42.75" customHeight="1">
      <c r="A112" s="104"/>
      <c r="B112" s="106"/>
      <c r="C112" s="109"/>
      <c r="D112" s="19" t="s">
        <v>143</v>
      </c>
      <c r="E112" s="31">
        <f>(E107-E115)*0.18</f>
        <v>488.71069506000003</v>
      </c>
      <c r="F112" s="31">
        <f>G112+H112+I112</f>
        <v>160.70999999999998</v>
      </c>
      <c r="G112" s="31">
        <v>45.8</v>
      </c>
      <c r="H112" s="31">
        <f>H111-H113-H114-H115</f>
        <v>41.100000000000009</v>
      </c>
      <c r="I112" s="31">
        <f t="shared" ref="I112:L112" si="32">I111-I113-I114-I115</f>
        <v>73.809999999999988</v>
      </c>
      <c r="J112" s="31">
        <f t="shared" si="32"/>
        <v>100.90000000000002</v>
      </c>
      <c r="K112" s="42">
        <f>K111-K113-K114-K115</f>
        <v>83.814999999999984</v>
      </c>
      <c r="L112" s="42">
        <f t="shared" si="32"/>
        <v>71.005417000000008</v>
      </c>
      <c r="M112" s="31">
        <f>M111-M113-M114-M115</f>
        <v>53.507000000000005</v>
      </c>
      <c r="N112" s="31">
        <f>N111-N113-N114-N115</f>
        <v>21.027000000000157</v>
      </c>
      <c r="O112" s="41"/>
      <c r="P112" s="79">
        <v>488.71079999999995</v>
      </c>
      <c r="Q112" s="82">
        <f t="shared" si="17"/>
        <v>-1.0493999991467717E-4</v>
      </c>
    </row>
    <row r="113" spans="1:17" s="8" customFormat="1" ht="83.25" customHeight="1">
      <c r="A113" s="104"/>
      <c r="B113" s="106"/>
      <c r="C113" s="109"/>
      <c r="D113" s="19" t="s">
        <v>144</v>
      </c>
      <c r="E113" s="31">
        <f>E111-E112-E114-E115+0.05</f>
        <v>2172.0975336000006</v>
      </c>
      <c r="F113" s="31">
        <f>G113+H113+I113</f>
        <v>156.19999999999999</v>
      </c>
      <c r="G113" s="31">
        <f>G111-G112-G114</f>
        <v>112.00000000000001</v>
      </c>
      <c r="H113" s="31">
        <v>21.5</v>
      </c>
      <c r="I113" s="31">
        <v>22.7</v>
      </c>
      <c r="J113" s="31">
        <v>15.3</v>
      </c>
      <c r="K113" s="42">
        <v>14.984999999999999</v>
      </c>
      <c r="L113" s="42">
        <v>15.68</v>
      </c>
      <c r="M113" s="31">
        <v>20</v>
      </c>
      <c r="N113" s="43">
        <v>1953.4</v>
      </c>
      <c r="O113" s="41"/>
      <c r="P113" s="79">
        <v>2172.0980000000004</v>
      </c>
      <c r="Q113" s="82">
        <f t="shared" si="17"/>
        <v>-4.6639999982289737E-4</v>
      </c>
    </row>
    <row r="114" spans="1:17" s="8" customFormat="1" ht="50.25" customHeight="1">
      <c r="A114" s="104"/>
      <c r="B114" s="106"/>
      <c r="C114" s="109"/>
      <c r="D114" s="19" t="s">
        <v>156</v>
      </c>
      <c r="E114" s="31">
        <f>(E107-E115)*0.02</f>
        <v>54.30118834000001</v>
      </c>
      <c r="F114" s="31">
        <f>G114+H114+I114</f>
        <v>19.7</v>
      </c>
      <c r="G114" s="31">
        <v>6.5</v>
      </c>
      <c r="H114" s="31">
        <v>8.1999999999999993</v>
      </c>
      <c r="I114" s="31">
        <v>5</v>
      </c>
      <c r="J114" s="31">
        <v>13</v>
      </c>
      <c r="K114" s="31">
        <v>11.7</v>
      </c>
      <c r="L114" s="31">
        <v>18.23</v>
      </c>
      <c r="M114" s="31">
        <v>4</v>
      </c>
      <c r="N114" s="43">
        <v>1.9</v>
      </c>
      <c r="O114" s="41"/>
      <c r="P114" s="79">
        <v>54.301200000000001</v>
      </c>
      <c r="Q114" s="82">
        <f t="shared" si="17"/>
        <v>-1.1659999991309178E-5</v>
      </c>
    </row>
    <row r="115" spans="1:17" s="8" customFormat="1" ht="15.75">
      <c r="A115" s="92"/>
      <c r="B115" s="107"/>
      <c r="C115" s="110"/>
      <c r="D115" s="19" t="s">
        <v>157</v>
      </c>
      <c r="E115" s="31">
        <v>370</v>
      </c>
      <c r="F115" s="31">
        <f>G115+H115+I115</f>
        <v>0</v>
      </c>
      <c r="G115" s="31"/>
      <c r="H115" s="31"/>
      <c r="I115" s="31"/>
      <c r="J115" s="31"/>
      <c r="K115" s="31"/>
      <c r="L115" s="31"/>
      <c r="M115" s="31">
        <v>50</v>
      </c>
      <c r="N115" s="43">
        <v>300</v>
      </c>
      <c r="O115" s="41"/>
      <c r="P115" s="79">
        <v>370</v>
      </c>
      <c r="Q115" s="82">
        <f t="shared" si="17"/>
        <v>0</v>
      </c>
    </row>
    <row r="116" spans="1:17" ht="14.25" customHeight="1">
      <c r="A116" s="77"/>
      <c r="B116" s="57"/>
      <c r="C116" s="44"/>
      <c r="D116" s="57"/>
      <c r="E116" s="50"/>
      <c r="F116" s="58"/>
      <c r="G116" s="58"/>
      <c r="H116" s="58"/>
      <c r="I116" s="58"/>
      <c r="J116" s="58"/>
      <c r="K116" s="58"/>
      <c r="L116" s="58"/>
      <c r="M116" s="58"/>
      <c r="N116" s="58"/>
      <c r="O116" s="45"/>
    </row>
    <row r="117" spans="1:17">
      <c r="A117" s="77"/>
      <c r="B117" s="99" t="s">
        <v>229</v>
      </c>
      <c r="C117" s="99"/>
      <c r="D117" s="99"/>
      <c r="E117" s="51"/>
      <c r="F117" s="51"/>
      <c r="G117" s="51"/>
      <c r="H117" s="51"/>
      <c r="I117" s="51"/>
      <c r="J117" s="51"/>
      <c r="K117" s="51"/>
      <c r="L117" s="51"/>
      <c r="M117" s="58"/>
      <c r="N117" s="58"/>
      <c r="O117" s="45"/>
    </row>
    <row r="118" spans="1:17">
      <c r="A118" s="77"/>
      <c r="B118" s="99" t="s">
        <v>231</v>
      </c>
      <c r="C118" s="99"/>
      <c r="D118" s="99"/>
      <c r="E118" s="51"/>
      <c r="F118" s="51"/>
      <c r="G118" s="51"/>
      <c r="H118" s="51"/>
      <c r="I118" s="51"/>
      <c r="J118" s="100" t="s">
        <v>230</v>
      </c>
      <c r="K118" s="100"/>
      <c r="L118" s="100"/>
      <c r="M118" s="58"/>
      <c r="N118" s="58"/>
      <c r="O118" s="45"/>
    </row>
    <row r="119" spans="1:17">
      <c r="A119" s="77"/>
      <c r="B119" s="88"/>
      <c r="C119" s="88"/>
      <c r="D119" s="88"/>
      <c r="E119" s="51"/>
      <c r="F119" s="51"/>
      <c r="G119" s="51"/>
      <c r="H119" s="51"/>
      <c r="I119" s="51"/>
      <c r="J119" s="89"/>
      <c r="K119" s="89"/>
      <c r="L119" s="89"/>
      <c r="M119" s="89"/>
      <c r="N119" s="89"/>
      <c r="O119" s="45"/>
    </row>
    <row r="120" spans="1:17" ht="39.75" customHeight="1">
      <c r="A120" s="77"/>
      <c r="B120" s="99" t="s">
        <v>262</v>
      </c>
      <c r="C120" s="99"/>
      <c r="D120" s="99"/>
      <c r="E120" s="51"/>
      <c r="F120" s="51"/>
      <c r="G120" s="51"/>
      <c r="H120" s="51"/>
      <c r="I120" s="51"/>
      <c r="J120" s="51"/>
      <c r="K120" s="51"/>
      <c r="L120" s="51"/>
      <c r="M120" s="58"/>
      <c r="N120" s="58"/>
      <c r="O120" s="45"/>
    </row>
    <row r="121" spans="1:17" ht="57" customHeight="1">
      <c r="A121" s="77"/>
      <c r="B121" s="99" t="s">
        <v>263</v>
      </c>
      <c r="C121" s="99"/>
      <c r="D121" s="99"/>
      <c r="E121" s="51"/>
      <c r="F121" s="51"/>
      <c r="G121" s="51"/>
      <c r="H121" s="51"/>
      <c r="I121" s="51"/>
      <c r="J121" s="100" t="s">
        <v>264</v>
      </c>
      <c r="K121" s="100"/>
      <c r="L121" s="100"/>
      <c r="M121" s="89"/>
      <c r="N121" s="89"/>
      <c r="O121" s="45"/>
    </row>
    <row r="122" spans="1:17" ht="49.5" customHeight="1">
      <c r="A122" s="77"/>
      <c r="B122" s="90" t="s">
        <v>265</v>
      </c>
      <c r="C122" s="46"/>
      <c r="D122" s="47"/>
      <c r="E122" s="50"/>
      <c r="F122" s="58"/>
      <c r="G122" s="58"/>
      <c r="H122" s="58"/>
      <c r="I122" s="58"/>
      <c r="J122" s="58"/>
      <c r="K122" s="58"/>
      <c r="L122" s="58"/>
      <c r="M122" s="58"/>
      <c r="N122" s="58"/>
      <c r="O122" s="45"/>
    </row>
    <row r="123" spans="1:17">
      <c r="A123" s="78"/>
    </row>
    <row r="124" spans="1:17">
      <c r="A124" s="78"/>
    </row>
    <row r="125" spans="1:17">
      <c r="A125" s="78"/>
    </row>
    <row r="126" spans="1:17">
      <c r="A126" s="78"/>
    </row>
  </sheetData>
  <mergeCells count="69">
    <mergeCell ref="B120:D120"/>
    <mergeCell ref="B121:D121"/>
    <mergeCell ref="J121:L121"/>
    <mergeCell ref="I1:O1"/>
    <mergeCell ref="A5:O5"/>
    <mergeCell ref="A6:A7"/>
    <mergeCell ref="B6:B7"/>
    <mergeCell ref="C6:C7"/>
    <mergeCell ref="D6:D7"/>
    <mergeCell ref="E6:E7"/>
    <mergeCell ref="F6:F7"/>
    <mergeCell ref="G6:M6"/>
    <mergeCell ref="O6:O7"/>
    <mergeCell ref="N6:N7"/>
    <mergeCell ref="I2:O2"/>
    <mergeCell ref="I3:O3"/>
    <mergeCell ref="I4:O4"/>
    <mergeCell ref="A8:A10"/>
    <mergeCell ref="B8:B10"/>
    <mergeCell ref="C8:C10"/>
    <mergeCell ref="O8:O10"/>
    <mergeCell ref="A38:A39"/>
    <mergeCell ref="B38:B39"/>
    <mergeCell ref="C38:C39"/>
    <mergeCell ref="O38:O39"/>
    <mergeCell ref="A16:A17"/>
    <mergeCell ref="B16:B17"/>
    <mergeCell ref="C16:C17"/>
    <mergeCell ref="O16:O17"/>
    <mergeCell ref="A26:A27"/>
    <mergeCell ref="B26:B27"/>
    <mergeCell ref="C26:C27"/>
    <mergeCell ref="O26:O27"/>
    <mergeCell ref="O72:O73"/>
    <mergeCell ref="A75:A77"/>
    <mergeCell ref="B75:B77"/>
    <mergeCell ref="C75:C77"/>
    <mergeCell ref="A82:A84"/>
    <mergeCell ref="B82:B84"/>
    <mergeCell ref="C82:C84"/>
    <mergeCell ref="O82:O84"/>
    <mergeCell ref="A89:A91"/>
    <mergeCell ref="B89:B91"/>
    <mergeCell ref="C89:C91"/>
    <mergeCell ref="O89:O91"/>
    <mergeCell ref="O106:O108"/>
    <mergeCell ref="O93:O94"/>
    <mergeCell ref="O101:O102"/>
    <mergeCell ref="A93:A94"/>
    <mergeCell ref="B93:B94"/>
    <mergeCell ref="C93:C94"/>
    <mergeCell ref="A101:A102"/>
    <mergeCell ref="B101:B102"/>
    <mergeCell ref="C101:C102"/>
    <mergeCell ref="B118:D118"/>
    <mergeCell ref="J118:L118"/>
    <mergeCell ref="A106:A108"/>
    <mergeCell ref="B106:B108"/>
    <mergeCell ref="C106:C108"/>
    <mergeCell ref="B117:D117"/>
    <mergeCell ref="A109:A115"/>
    <mergeCell ref="B109:B115"/>
    <mergeCell ref="C109:C115"/>
    <mergeCell ref="A63:A64"/>
    <mergeCell ref="B63:B64"/>
    <mergeCell ref="C63:C64"/>
    <mergeCell ref="O63:O64"/>
    <mergeCell ref="B47:B48"/>
    <mergeCell ref="A47:A48"/>
  </mergeCells>
  <pageMargins left="0.65" right="0.43307086614173229" top="0.46" bottom="0.19685039370078741" header="0.19685039370078741" footer="0.11811023622047245"/>
  <pageSetup paperSize="9" scale="85" firstPageNumber="50" orientation="landscape" r:id="rId1"/>
  <headerFooter alignWithMargins="0"/>
  <rowBreaks count="10" manualBreakCount="10">
    <brk id="14" max="14" man="1"/>
    <brk id="24" max="14" man="1"/>
    <brk id="32" max="14" man="1"/>
    <brk id="40" max="14" man="1"/>
    <brk id="50" max="14" man="1"/>
    <brk id="59" max="14" man="1"/>
    <brk id="71" max="16383" man="1"/>
    <brk id="81" max="16383" man="1"/>
    <brk id="94" max="14" man="1"/>
    <brk id="10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>Администрация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</dc:creator>
  <cp:lastModifiedBy>snd107</cp:lastModifiedBy>
  <cp:lastPrinted>2019-12-18T14:07:29Z</cp:lastPrinted>
  <dcterms:created xsi:type="dcterms:W3CDTF">2004-07-22T06:08:45Z</dcterms:created>
  <dcterms:modified xsi:type="dcterms:W3CDTF">2019-12-24T05:15:50Z</dcterms:modified>
</cp:coreProperties>
</file>